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OZPOCET_MESTA\R 2024\"/>
    </mc:Choice>
  </mc:AlternateContent>
  <bookViews>
    <workbookView xWindow="45" yWindow="6630" windowWidth="23250" windowHeight="6180" tabRatio="788" activeTab="2"/>
  </bookViews>
  <sheets>
    <sheet name="PŘÍJMY" sheetId="2" r:id="rId1"/>
    <sheet name="NEINVESTICE" sheetId="3" r:id="rId2"/>
    <sheet name="INVESTICE" sheetId="4" r:id="rId3"/>
    <sheet name="FINANCOVÁNÍ" sheetId="5" r:id="rId4"/>
    <sheet name="orJ_správce_telefon_mail" sheetId="10" r:id="rId5"/>
    <sheet name="Použité zkratky" sheetId="6" r:id="rId6"/>
    <sheet name="polozky" sheetId="7" r:id="rId7"/>
    <sheet name="UZ" sheetId="8" r:id="rId8"/>
    <sheet name="OrgC" sheetId="9" r:id="rId9"/>
  </sheets>
  <externalReferences>
    <externalReference r:id="rId10"/>
    <externalReference r:id="rId11"/>
  </externalReferences>
  <definedNames>
    <definedName name="_FilterDatabase" localSheetId="2" hidden="1">INVESTICE!$A$2:$J$59</definedName>
    <definedName name="_FilterDatabase" localSheetId="1" hidden="1">NEINVESTICE!$A$2:$O$406</definedName>
    <definedName name="_xlnm._FilterDatabase" localSheetId="2" hidden="1">INVESTICE!$A$2:$S$119</definedName>
    <definedName name="_xlnm._FilterDatabase" localSheetId="1" hidden="1">NEINVESTICE!$A$2:$U$789</definedName>
    <definedName name="_xlnm._FilterDatabase" localSheetId="4" hidden="1">orJ_správce_telefon_mail!$A$1:$E$35</definedName>
    <definedName name="_xlnm._FilterDatabase" localSheetId="0" hidden="1">PŘÍJMY!$A$2:$T$351</definedName>
    <definedName name="_MailAutoSig" localSheetId="1">NEINVESTICE!#REF!</definedName>
    <definedName name="_MailOriginal" localSheetId="1">NEINVESTICE!$T$78</definedName>
    <definedName name="_xlnm.Print_Titles" localSheetId="2">INVESTICE!$2:$2</definedName>
    <definedName name="_xlnm.Print_Titles" localSheetId="1">NEINVESTICE!$2:$2</definedName>
    <definedName name="_xlnm.Print_Titles" localSheetId="0">PŘÍJMY!$2:$2</definedName>
    <definedName name="_xlnm.Print_Area" localSheetId="3">FINANCOVÁNÍ!$B$1:$L$50</definedName>
    <definedName name="_xlnm.Print_Area" localSheetId="2">INVESTICE!$A$1:$R$117</definedName>
    <definedName name="_xlnm.Print_Area" localSheetId="1">NEINVESTICE!$A$1:$U$795</definedName>
    <definedName name="_xlnm.Print_Area" localSheetId="4">orJ_správce_telefon_mail!$A$1:$D$35</definedName>
    <definedName name="_xlnm.Print_Area" localSheetId="0">PŘÍJMY!$A$1:$T$370</definedName>
    <definedName name="OrgC">[1]OrgC!$A:$B</definedName>
    <definedName name="SpPo">[2]polozky!$A$1:$B$65536</definedName>
    <definedName name="SVYHLEDAT_H19_UZ_2_0">#REF!</definedName>
  </definedNames>
  <calcPr calcId="162913"/>
</workbook>
</file>

<file path=xl/calcChain.xml><?xml version="1.0" encoding="utf-8"?>
<calcChain xmlns="http://schemas.openxmlformats.org/spreadsheetml/2006/main">
  <c r="S1" i="3" l="1"/>
  <c r="S789" i="3"/>
  <c r="S414" i="3" l="1"/>
  <c r="S482" i="3" l="1"/>
  <c r="G60" i="4"/>
  <c r="G61" i="4"/>
  <c r="S72" i="3" l="1"/>
  <c r="P7" i="4"/>
  <c r="S77" i="3" l="1"/>
  <c r="P62" i="4" l="1"/>
  <c r="S79" i="3"/>
  <c r="S726" i="3"/>
  <c r="T290" i="3"/>
  <c r="S290" i="3"/>
  <c r="S236" i="2" l="1"/>
  <c r="S229" i="2"/>
  <c r="S227" i="2"/>
  <c r="S285" i="2"/>
  <c r="S214" i="2"/>
  <c r="S202" i="2"/>
  <c r="T414" i="3" l="1"/>
  <c r="S364" i="2" l="1"/>
  <c r="S133" i="2" l="1"/>
  <c r="T296" i="3" l="1"/>
  <c r="S296" i="3"/>
  <c r="S277" i="3"/>
  <c r="J51" i="5" l="1"/>
  <c r="P103" i="4" l="1"/>
  <c r="P102" i="4"/>
  <c r="P101" i="4"/>
  <c r="J268" i="3" l="1"/>
  <c r="P65" i="4" l="1"/>
  <c r="L53" i="4"/>
  <c r="I53" i="4"/>
  <c r="G53" i="4"/>
  <c r="G52" i="4"/>
  <c r="D38" i="5" l="1"/>
  <c r="E38" i="5"/>
  <c r="F38" i="5"/>
  <c r="G38" i="5"/>
  <c r="H38" i="5"/>
  <c r="I38" i="5"/>
  <c r="J38" i="5"/>
  <c r="D39" i="5"/>
  <c r="E39" i="5"/>
  <c r="F39" i="5"/>
  <c r="G39" i="5"/>
  <c r="H39" i="5"/>
  <c r="I39" i="5"/>
  <c r="J39" i="5"/>
  <c r="C39" i="5"/>
  <c r="C38" i="5"/>
  <c r="D41" i="5"/>
  <c r="E41" i="5"/>
  <c r="F41" i="5"/>
  <c r="G41" i="5"/>
  <c r="H41" i="5"/>
  <c r="I41" i="5"/>
  <c r="J41" i="5"/>
  <c r="C41" i="5"/>
  <c r="G66" i="4"/>
  <c r="P64" i="4"/>
  <c r="G64" i="4"/>
  <c r="Q9" i="4"/>
  <c r="G63" i="4"/>
  <c r="S618" i="3" l="1"/>
  <c r="S593" i="3"/>
  <c r="T289" i="3" l="1"/>
  <c r="G50" i="4" l="1"/>
  <c r="H115" i="4" l="1"/>
  <c r="H112" i="4"/>
  <c r="H110" i="4"/>
  <c r="H106" i="4"/>
  <c r="H91" i="4"/>
  <c r="H87" i="4"/>
  <c r="H85" i="4"/>
  <c r="H82" i="4"/>
  <c r="H80" i="4"/>
  <c r="H77" i="4"/>
  <c r="H58" i="4"/>
  <c r="H55" i="4"/>
  <c r="H46" i="4"/>
  <c r="H26" i="4"/>
  <c r="H24" i="4"/>
  <c r="H22" i="4"/>
  <c r="H13" i="4"/>
  <c r="H11" i="4"/>
  <c r="H4" i="4"/>
  <c r="K786" i="3"/>
  <c r="K781" i="3"/>
  <c r="K779" i="3"/>
  <c r="K766" i="3"/>
  <c r="K648" i="3"/>
  <c r="K591" i="3"/>
  <c r="K492" i="3"/>
  <c r="K485" i="3"/>
  <c r="K468" i="3"/>
  <c r="K465" i="3"/>
  <c r="K445" i="3"/>
  <c r="K441" i="3"/>
  <c r="K438" i="3"/>
  <c r="K433" i="3"/>
  <c r="K421" i="3"/>
  <c r="K409" i="3"/>
  <c r="K401" i="3"/>
  <c r="K380" i="3"/>
  <c r="K310" i="3"/>
  <c r="K303" i="3"/>
  <c r="K243" i="3"/>
  <c r="K241" i="3"/>
  <c r="K239" i="3"/>
  <c r="K202" i="3"/>
  <c r="K190" i="3"/>
  <c r="K105" i="3"/>
  <c r="K82" i="3"/>
  <c r="K63" i="3"/>
  <c r="K54" i="3"/>
  <c r="K9" i="3"/>
  <c r="S366" i="2"/>
  <c r="S128" i="2"/>
  <c r="H43" i="5"/>
  <c r="D44" i="5"/>
  <c r="E44" i="5"/>
  <c r="F44" i="5"/>
  <c r="G44" i="5"/>
  <c r="H44" i="5"/>
  <c r="I44" i="5"/>
  <c r="C44" i="5"/>
  <c r="Q115" i="4"/>
  <c r="P115" i="4"/>
  <c r="O115" i="4"/>
  <c r="N115" i="4"/>
  <c r="M115" i="4"/>
  <c r="L115" i="4"/>
  <c r="K115" i="4"/>
  <c r="I115" i="4"/>
  <c r="Q112" i="4"/>
  <c r="P112" i="4"/>
  <c r="O112" i="4"/>
  <c r="N112" i="4"/>
  <c r="M112" i="4"/>
  <c r="L112" i="4"/>
  <c r="K112" i="4"/>
  <c r="J112" i="4"/>
  <c r="I112" i="4"/>
  <c r="Q110" i="4"/>
  <c r="P110" i="4"/>
  <c r="O110" i="4"/>
  <c r="N110" i="4"/>
  <c r="M110" i="4"/>
  <c r="L110" i="4"/>
  <c r="K110" i="4"/>
  <c r="Q106" i="4"/>
  <c r="P106" i="4"/>
  <c r="O106" i="4"/>
  <c r="N106" i="4"/>
  <c r="M106" i="4"/>
  <c r="K106" i="4"/>
  <c r="Q91" i="4"/>
  <c r="P91" i="4"/>
  <c r="O91" i="4"/>
  <c r="N91" i="4"/>
  <c r="M91" i="4"/>
  <c r="L91" i="4"/>
  <c r="K91" i="4"/>
  <c r="J91" i="4"/>
  <c r="I91" i="4"/>
  <c r="Q87" i="4"/>
  <c r="P87" i="4"/>
  <c r="O87" i="4"/>
  <c r="N87" i="4"/>
  <c r="M87" i="4"/>
  <c r="L87" i="4"/>
  <c r="K87" i="4"/>
  <c r="J87" i="4"/>
  <c r="I87" i="4"/>
  <c r="Q85" i="4"/>
  <c r="P85" i="4"/>
  <c r="O85" i="4"/>
  <c r="N85" i="4"/>
  <c r="M85" i="4"/>
  <c r="L85" i="4"/>
  <c r="K85" i="4"/>
  <c r="J85" i="4"/>
  <c r="I85" i="4"/>
  <c r="Q82" i="4"/>
  <c r="P82" i="4"/>
  <c r="O82" i="4"/>
  <c r="N82" i="4"/>
  <c r="M82" i="4"/>
  <c r="L82" i="4"/>
  <c r="K82" i="4"/>
  <c r="J82" i="4"/>
  <c r="I82" i="4"/>
  <c r="Q80" i="4"/>
  <c r="P80" i="4"/>
  <c r="O80" i="4"/>
  <c r="N80" i="4"/>
  <c r="M80" i="4"/>
  <c r="L80" i="4"/>
  <c r="K80" i="4"/>
  <c r="I80" i="4"/>
  <c r="Q77" i="4"/>
  <c r="O77" i="4"/>
  <c r="N77" i="4"/>
  <c r="Q58" i="4"/>
  <c r="P58" i="4"/>
  <c r="O58" i="4"/>
  <c r="M58" i="4"/>
  <c r="L58" i="4"/>
  <c r="K58" i="4"/>
  <c r="J58" i="4"/>
  <c r="I58" i="4"/>
  <c r="P55" i="4"/>
  <c r="O55" i="4"/>
  <c r="N55" i="4"/>
  <c r="M55" i="4"/>
  <c r="L55" i="4"/>
  <c r="K55" i="4"/>
  <c r="J55" i="4"/>
  <c r="I55" i="4"/>
  <c r="P46" i="4"/>
  <c r="O46" i="4"/>
  <c r="N46" i="4"/>
  <c r="M46" i="4"/>
  <c r="L46" i="4"/>
  <c r="K46" i="4"/>
  <c r="J46" i="4"/>
  <c r="I46" i="4"/>
  <c r="Q26" i="4"/>
  <c r="P26" i="4"/>
  <c r="O26" i="4"/>
  <c r="N26" i="4"/>
  <c r="M26" i="4"/>
  <c r="L26" i="4"/>
  <c r="K26" i="4"/>
  <c r="I26" i="4"/>
  <c r="Q24" i="4"/>
  <c r="P24" i="4"/>
  <c r="O24" i="4"/>
  <c r="N24" i="4"/>
  <c r="M24" i="4"/>
  <c r="L24" i="4"/>
  <c r="K24" i="4"/>
  <c r="J24" i="4"/>
  <c r="I24" i="4"/>
  <c r="Q22" i="4"/>
  <c r="P22" i="4"/>
  <c r="O22" i="4"/>
  <c r="N22" i="4"/>
  <c r="M22" i="4"/>
  <c r="L22" i="4"/>
  <c r="K22" i="4"/>
  <c r="J22" i="4"/>
  <c r="I22" i="4"/>
  <c r="Q13" i="4"/>
  <c r="P13" i="4"/>
  <c r="O13" i="4"/>
  <c r="N13" i="4"/>
  <c r="M13" i="4"/>
  <c r="L13" i="4"/>
  <c r="K13" i="4"/>
  <c r="J13" i="4"/>
  <c r="I13" i="4"/>
  <c r="Q11" i="4"/>
  <c r="P11" i="4"/>
  <c r="O11" i="4"/>
  <c r="N11" i="4"/>
  <c r="M11" i="4"/>
  <c r="L11" i="4"/>
  <c r="J11" i="4"/>
  <c r="I11" i="4"/>
  <c r="Q4" i="4"/>
  <c r="P4" i="4"/>
  <c r="O4" i="4"/>
  <c r="N4" i="4"/>
  <c r="M4" i="4"/>
  <c r="L4" i="4"/>
  <c r="I4" i="4"/>
  <c r="T786" i="3"/>
  <c r="S786" i="3"/>
  <c r="R786" i="3"/>
  <c r="Q786" i="3"/>
  <c r="P786" i="3"/>
  <c r="O786" i="3"/>
  <c r="N786" i="3"/>
  <c r="M786" i="3"/>
  <c r="L786" i="3"/>
  <c r="T781" i="3"/>
  <c r="S781" i="3"/>
  <c r="R781" i="3"/>
  <c r="Q781" i="3"/>
  <c r="P781" i="3"/>
  <c r="O781" i="3"/>
  <c r="N781" i="3"/>
  <c r="M781" i="3"/>
  <c r="L781" i="3"/>
  <c r="T779" i="3"/>
  <c r="S779" i="3"/>
  <c r="R779" i="3"/>
  <c r="Q779" i="3"/>
  <c r="P779" i="3"/>
  <c r="O779" i="3"/>
  <c r="N779" i="3"/>
  <c r="M779" i="3"/>
  <c r="L779" i="3"/>
  <c r="T766" i="3"/>
  <c r="S766" i="3"/>
  <c r="T648" i="3"/>
  <c r="S648" i="3"/>
  <c r="P648" i="3"/>
  <c r="O648" i="3"/>
  <c r="N648" i="3"/>
  <c r="T591" i="3"/>
  <c r="S591" i="3"/>
  <c r="R591" i="3"/>
  <c r="Q591" i="3"/>
  <c r="P591" i="3"/>
  <c r="O591" i="3"/>
  <c r="N591" i="3"/>
  <c r="T492" i="3"/>
  <c r="S492" i="3"/>
  <c r="R492" i="3"/>
  <c r="Q492" i="3"/>
  <c r="P492" i="3"/>
  <c r="O492" i="3"/>
  <c r="N492" i="3"/>
  <c r="M492" i="3"/>
  <c r="L492" i="3"/>
  <c r="T485" i="3"/>
  <c r="S485" i="3"/>
  <c r="R485" i="3"/>
  <c r="Q485" i="3"/>
  <c r="P485" i="3"/>
  <c r="O485" i="3"/>
  <c r="N485" i="3"/>
  <c r="M485" i="3"/>
  <c r="L485" i="3"/>
  <c r="T468" i="3"/>
  <c r="S468" i="3"/>
  <c r="R468" i="3"/>
  <c r="Q468" i="3"/>
  <c r="P468" i="3"/>
  <c r="O468" i="3"/>
  <c r="N468" i="3"/>
  <c r="M468" i="3"/>
  <c r="L468" i="3"/>
  <c r="T465" i="3"/>
  <c r="S465" i="3"/>
  <c r="R465" i="3"/>
  <c r="P465" i="3"/>
  <c r="O465" i="3"/>
  <c r="T445" i="3"/>
  <c r="S445" i="3"/>
  <c r="R445" i="3"/>
  <c r="Q445" i="3"/>
  <c r="P445" i="3"/>
  <c r="O445" i="3"/>
  <c r="N445" i="3"/>
  <c r="M445" i="3"/>
  <c r="L445" i="3"/>
  <c r="T441" i="3"/>
  <c r="S441" i="3"/>
  <c r="R441" i="3"/>
  <c r="Q441" i="3"/>
  <c r="P441" i="3"/>
  <c r="O441" i="3"/>
  <c r="N441" i="3"/>
  <c r="M441" i="3"/>
  <c r="L441" i="3"/>
  <c r="T438" i="3"/>
  <c r="S438" i="3"/>
  <c r="R438" i="3"/>
  <c r="Q438" i="3"/>
  <c r="P438" i="3"/>
  <c r="O438" i="3"/>
  <c r="N438" i="3"/>
  <c r="M438" i="3"/>
  <c r="L438" i="3"/>
  <c r="T433" i="3"/>
  <c r="S433" i="3"/>
  <c r="R433" i="3"/>
  <c r="Q433" i="3"/>
  <c r="P433" i="3"/>
  <c r="O433" i="3"/>
  <c r="N433" i="3"/>
  <c r="M433" i="3"/>
  <c r="L433" i="3"/>
  <c r="T421" i="3"/>
  <c r="S421" i="3"/>
  <c r="R421" i="3"/>
  <c r="Q421" i="3"/>
  <c r="O421" i="3"/>
  <c r="N421" i="3"/>
  <c r="M421" i="3"/>
  <c r="L421" i="3"/>
  <c r="T409" i="3"/>
  <c r="S409" i="3"/>
  <c r="R409" i="3"/>
  <c r="Q409" i="3"/>
  <c r="P409" i="3"/>
  <c r="O409" i="3"/>
  <c r="M409" i="3"/>
  <c r="T401" i="3"/>
  <c r="S401" i="3"/>
  <c r="R401" i="3"/>
  <c r="Q401" i="3"/>
  <c r="P401" i="3"/>
  <c r="O401" i="3"/>
  <c r="N401" i="3"/>
  <c r="T380" i="3"/>
  <c r="S380" i="3"/>
  <c r="R380" i="3"/>
  <c r="Q380" i="3"/>
  <c r="P380" i="3"/>
  <c r="O380" i="3"/>
  <c r="M380" i="3"/>
  <c r="L380" i="3"/>
  <c r="T310" i="3"/>
  <c r="S310" i="3"/>
  <c r="R310" i="3"/>
  <c r="Q310" i="3"/>
  <c r="P310" i="3"/>
  <c r="O310" i="3"/>
  <c r="N310" i="3"/>
  <c r="M310" i="3"/>
  <c r="R303" i="3"/>
  <c r="P303" i="3"/>
  <c r="O303" i="3"/>
  <c r="N303" i="3"/>
  <c r="T243" i="3"/>
  <c r="S243" i="3"/>
  <c r="R243" i="3"/>
  <c r="Q243" i="3"/>
  <c r="P243" i="3"/>
  <c r="O243" i="3"/>
  <c r="N243" i="3"/>
  <c r="M243" i="3"/>
  <c r="L243" i="3"/>
  <c r="T241" i="3"/>
  <c r="S241" i="3"/>
  <c r="R241" i="3"/>
  <c r="Q241" i="3"/>
  <c r="P241" i="3"/>
  <c r="O241" i="3"/>
  <c r="N241" i="3"/>
  <c r="M241" i="3"/>
  <c r="L241" i="3"/>
  <c r="T239" i="3"/>
  <c r="S239" i="3"/>
  <c r="R239" i="3"/>
  <c r="P239" i="3"/>
  <c r="O239" i="3"/>
  <c r="T202" i="3"/>
  <c r="S202" i="3"/>
  <c r="R202" i="3"/>
  <c r="Q202" i="3"/>
  <c r="P202" i="3"/>
  <c r="O202" i="3"/>
  <c r="N202" i="3"/>
  <c r="L202" i="3"/>
  <c r="T190" i="3"/>
  <c r="S190" i="3"/>
  <c r="R190" i="3"/>
  <c r="P190" i="3"/>
  <c r="O190" i="3"/>
  <c r="T105" i="3"/>
  <c r="S105" i="3"/>
  <c r="R105" i="3"/>
  <c r="P105" i="3"/>
  <c r="T82" i="3"/>
  <c r="S82" i="3"/>
  <c r="R82" i="3"/>
  <c r="P82" i="3"/>
  <c r="O82" i="3"/>
  <c r="T63" i="3"/>
  <c r="S63" i="3"/>
  <c r="R63" i="3"/>
  <c r="Q63" i="3"/>
  <c r="P63" i="3"/>
  <c r="T54" i="3"/>
  <c r="S54" i="3"/>
  <c r="R54" i="3"/>
  <c r="O54" i="3"/>
  <c r="T9" i="3"/>
  <c r="S9" i="3"/>
  <c r="R9" i="3"/>
  <c r="P9" i="3"/>
  <c r="O9" i="3"/>
  <c r="N9" i="3"/>
  <c r="M9" i="3"/>
  <c r="L9" i="3"/>
  <c r="S303" i="3"/>
  <c r="T267" i="3"/>
  <c r="T303" i="3" s="1"/>
  <c r="P414" i="3"/>
  <c r="P421" i="3" s="1"/>
  <c r="L251" i="3"/>
  <c r="L186" i="3"/>
  <c r="O104" i="3"/>
  <c r="O105" i="3" s="1"/>
  <c r="M104" i="3"/>
  <c r="L104" i="3"/>
  <c r="P53" i="3"/>
  <c r="P54" i="3" s="1"/>
  <c r="N53" i="3"/>
  <c r="N54" i="3" s="1"/>
  <c r="M53" i="3"/>
  <c r="L53" i="3"/>
  <c r="N104" i="3"/>
  <c r="J62" i="3"/>
  <c r="J36" i="3"/>
  <c r="R685" i="3"/>
  <c r="R766" i="3" s="1"/>
  <c r="R601" i="3"/>
  <c r="R648" i="3" s="1"/>
  <c r="P760" i="3"/>
  <c r="O760" i="3"/>
  <c r="O766" i="3" s="1"/>
  <c r="M760" i="3"/>
  <c r="L760" i="3"/>
  <c r="R787" i="3" l="1"/>
  <c r="S787" i="3"/>
  <c r="T787" i="3"/>
  <c r="O116" i="4"/>
  <c r="O118" i="4" s="1"/>
  <c r="G90" i="4"/>
  <c r="G89" i="4"/>
  <c r="G103" i="4"/>
  <c r="G101" i="4"/>
  <c r="G102" i="4"/>
  <c r="G99" i="4"/>
  <c r="G96" i="4"/>
  <c r="J473" i="3"/>
  <c r="J470" i="3"/>
  <c r="J471" i="3"/>
  <c r="J478" i="3"/>
  <c r="J43" i="5" l="1"/>
  <c r="J21" i="5"/>
  <c r="J434" i="3"/>
  <c r="G69" i="4"/>
  <c r="G65" i="4"/>
  <c r="Q46" i="4" l="1"/>
  <c r="P77" i="4"/>
  <c r="P116" i="4" s="1"/>
  <c r="J44" i="5" s="1"/>
  <c r="N339" i="3"/>
  <c r="N380" i="3" s="1"/>
  <c r="J291" i="3"/>
  <c r="J269" i="3"/>
  <c r="J245" i="3"/>
  <c r="J250" i="3"/>
  <c r="J247" i="3"/>
  <c r="J248" i="3"/>
  <c r="J246" i="3"/>
  <c r="J249" i="3"/>
  <c r="J296" i="3"/>
  <c r="Q55" i="4"/>
  <c r="Q116" i="4" s="1"/>
  <c r="G54" i="4"/>
  <c r="G49" i="4"/>
  <c r="J287" i="3"/>
  <c r="G38" i="4" l="1"/>
  <c r="G32" i="4"/>
  <c r="G45" i="4"/>
  <c r="G35" i="4"/>
  <c r="G28" i="4"/>
  <c r="G41" i="4"/>
  <c r="G31" i="4" l="1"/>
  <c r="G29" i="4"/>
  <c r="G9" i="4"/>
  <c r="G10" i="4"/>
  <c r="G42" i="4"/>
  <c r="G27" i="4"/>
  <c r="G8" i="4"/>
  <c r="G12" i="4"/>
  <c r="G20" i="4"/>
  <c r="G21" i="4"/>
  <c r="G23" i="4"/>
  <c r="G25" i="4"/>
  <c r="G33" i="4"/>
  <c r="G36" i="4"/>
  <c r="G37" i="4"/>
  <c r="G30" i="4"/>
  <c r="G34" i="4"/>
  <c r="G43" i="4"/>
  <c r="G39" i="4"/>
  <c r="G44" i="4"/>
  <c r="G40" i="4"/>
  <c r="G47" i="4"/>
  <c r="G51" i="4"/>
  <c r="G48" i="4"/>
  <c r="G56" i="4"/>
  <c r="G57" i="4"/>
  <c r="G71" i="4"/>
  <c r="G70" i="4"/>
  <c r="G19" i="4"/>
  <c r="G15" i="4"/>
  <c r="G17" i="4"/>
  <c r="G18" i="4"/>
  <c r="G14" i="4"/>
  <c r="G16" i="4"/>
  <c r="G76" i="4"/>
  <c r="G62" i="4"/>
  <c r="G75" i="4"/>
  <c r="G74" i="4"/>
  <c r="G73" i="4"/>
  <c r="G59" i="4"/>
  <c r="G68" i="4"/>
  <c r="G72" i="4"/>
  <c r="G67" i="4"/>
  <c r="G78" i="4"/>
  <c r="G79" i="4"/>
  <c r="G81" i="4"/>
  <c r="G83" i="4"/>
  <c r="G84" i="4"/>
  <c r="G86" i="4"/>
  <c r="G88" i="4"/>
  <c r="G93" i="4"/>
  <c r="G100" i="4"/>
  <c r="G97" i="4"/>
  <c r="G104" i="4"/>
  <c r="G98" i="4"/>
  <c r="G5" i="4"/>
  <c r="G6" i="4"/>
  <c r="G7" i="4"/>
  <c r="G94" i="4"/>
  <c r="G95" i="4"/>
  <c r="G92" i="4"/>
  <c r="G105" i="4"/>
  <c r="G107" i="4"/>
  <c r="G108" i="4"/>
  <c r="G109" i="4"/>
  <c r="G111" i="4"/>
  <c r="G113" i="4"/>
  <c r="G114" i="4"/>
  <c r="J179" i="3"/>
  <c r="J110" i="3"/>
  <c r="J111" i="3"/>
  <c r="J112" i="3"/>
  <c r="J71" i="3" l="1"/>
  <c r="J74" i="3"/>
  <c r="J43" i="3"/>
  <c r="J11" i="3"/>
  <c r="J10" i="3"/>
  <c r="J26" i="3"/>
  <c r="J13" i="3"/>
  <c r="J102" i="3"/>
  <c r="J83" i="3"/>
  <c r="J46" i="3"/>
  <c r="J37" i="3"/>
  <c r="J34" i="3"/>
  <c r="J52" i="3"/>
  <c r="J27" i="3"/>
  <c r="J84" i="3"/>
  <c r="J64" i="3"/>
  <c r="M62" i="4" l="1"/>
  <c r="L62" i="4"/>
  <c r="J48" i="3"/>
  <c r="Q763" i="3"/>
  <c r="P763" i="3"/>
  <c r="J661" i="3"/>
  <c r="J608" i="3"/>
  <c r="J609" i="3"/>
  <c r="M77" i="4" l="1"/>
  <c r="M116" i="4" s="1"/>
  <c r="M118" i="4" s="1"/>
  <c r="L77" i="4"/>
  <c r="P766" i="3"/>
  <c r="P787" i="3"/>
  <c r="J413" i="3"/>
  <c r="J410" i="3"/>
  <c r="J412" i="3"/>
  <c r="Q4" i="3"/>
  <c r="Q6" i="3"/>
  <c r="M16" i="3"/>
  <c r="L17" i="3"/>
  <c r="M17" i="3"/>
  <c r="L22" i="3"/>
  <c r="M22" i="3"/>
  <c r="Q29" i="3"/>
  <c r="Q33" i="3"/>
  <c r="Q35" i="3"/>
  <c r="M38" i="3"/>
  <c r="M49" i="3"/>
  <c r="L50" i="3"/>
  <c r="M50" i="3"/>
  <c r="N56" i="3"/>
  <c r="O58" i="3"/>
  <c r="M60" i="3"/>
  <c r="M63" i="3" s="1"/>
  <c r="L61" i="3"/>
  <c r="L63" i="3" s="1"/>
  <c r="M61" i="3"/>
  <c r="N61" i="3"/>
  <c r="L66" i="3"/>
  <c r="L82" i="3" s="1"/>
  <c r="M66" i="3"/>
  <c r="M82" i="3" s="1"/>
  <c r="N66" i="3"/>
  <c r="N82" i="3" s="1"/>
  <c r="Q67" i="3"/>
  <c r="Q80" i="3"/>
  <c r="Q81" i="3"/>
  <c r="L85" i="3"/>
  <c r="M85" i="3"/>
  <c r="M105" i="3" s="1"/>
  <c r="N85" i="3"/>
  <c r="L90" i="3"/>
  <c r="M90" i="3"/>
  <c r="N90" i="3"/>
  <c r="L91" i="3"/>
  <c r="N91" i="3"/>
  <c r="Q101" i="3"/>
  <c r="Q105" i="3" s="1"/>
  <c r="N113" i="3"/>
  <c r="N190" i="3" s="1"/>
  <c r="Q133" i="3"/>
  <c r="Q190" i="3" s="1"/>
  <c r="M135" i="3"/>
  <c r="L170" i="3"/>
  <c r="L171" i="3"/>
  <c r="L172" i="3"/>
  <c r="M173" i="3"/>
  <c r="Q178" i="3"/>
  <c r="M201" i="3"/>
  <c r="M202" i="3" s="1"/>
  <c r="L203" i="3"/>
  <c r="M203" i="3"/>
  <c r="Q205" i="3"/>
  <c r="Q217" i="3"/>
  <c r="L219" i="3"/>
  <c r="M219" i="3"/>
  <c r="Q219" i="3"/>
  <c r="Q229" i="3"/>
  <c r="Q233" i="3"/>
  <c r="L238" i="3"/>
  <c r="M238" i="3"/>
  <c r="N238" i="3"/>
  <c r="N239" i="3" s="1"/>
  <c r="L305" i="3"/>
  <c r="L310" i="3" s="1"/>
  <c r="L400" i="3"/>
  <c r="L401" i="3" s="1"/>
  <c r="M400" i="3"/>
  <c r="M401" i="3" s="1"/>
  <c r="L407" i="3"/>
  <c r="L409" i="3" s="1"/>
  <c r="N407" i="3"/>
  <c r="N409" i="3" s="1"/>
  <c r="Q454" i="3"/>
  <c r="Q465" i="3" s="1"/>
  <c r="L455" i="3"/>
  <c r="L465" i="3" s="1"/>
  <c r="M455" i="3"/>
  <c r="M465" i="3" s="1"/>
  <c r="N457" i="3"/>
  <c r="N465" i="3" s="1"/>
  <c r="M459" i="3"/>
  <c r="L464" i="3"/>
  <c r="L493" i="3"/>
  <c r="L494" i="3"/>
  <c r="L528" i="3"/>
  <c r="L546" i="3"/>
  <c r="M546" i="3"/>
  <c r="M591" i="3" s="1"/>
  <c r="L568" i="3"/>
  <c r="L569" i="3"/>
  <c r="L570" i="3"/>
  <c r="L571" i="3"/>
  <c r="L592" i="3"/>
  <c r="M592" i="3"/>
  <c r="L599" i="3"/>
  <c r="M612" i="3"/>
  <c r="L617" i="3"/>
  <c r="M617" i="3"/>
  <c r="Q618" i="3"/>
  <c r="L620" i="3"/>
  <c r="M620" i="3"/>
  <c r="M623" i="3"/>
  <c r="Q623" i="3"/>
  <c r="M624" i="3"/>
  <c r="L631" i="3"/>
  <c r="Q631" i="3"/>
  <c r="L636" i="3"/>
  <c r="L646" i="3"/>
  <c r="M646" i="3"/>
  <c r="L659" i="3"/>
  <c r="M659" i="3"/>
  <c r="N659" i="3"/>
  <c r="N766" i="3" s="1"/>
  <c r="L699" i="3"/>
  <c r="M700" i="3"/>
  <c r="L714" i="3"/>
  <c r="M722" i="3"/>
  <c r="Q726" i="3"/>
  <c r="Q743" i="3"/>
  <c r="L751" i="3"/>
  <c r="L759" i="3"/>
  <c r="L255" i="3"/>
  <c r="M255" i="3"/>
  <c r="M257" i="3"/>
  <c r="L259" i="3"/>
  <c r="M259" i="3"/>
  <c r="L271" i="3"/>
  <c r="L274" i="3"/>
  <c r="L277" i="3"/>
  <c r="Q278" i="3"/>
  <c r="Q303" i="3" s="1"/>
  <c r="M283" i="3"/>
  <c r="L284" i="3"/>
  <c r="M284" i="3"/>
  <c r="M285" i="3"/>
  <c r="L287" i="3"/>
  <c r="M287" i="3"/>
  <c r="M300" i="3"/>
  <c r="O788" i="3"/>
  <c r="R788" i="3"/>
  <c r="P791" i="3"/>
  <c r="P788" i="3" s="1"/>
  <c r="Q648" i="3" l="1"/>
  <c r="L190" i="3"/>
  <c r="M766" i="3"/>
  <c r="Q239" i="3"/>
  <c r="L766" i="3"/>
  <c r="M239" i="3"/>
  <c r="L239" i="3"/>
  <c r="P789" i="3"/>
  <c r="R789" i="3"/>
  <c r="I43" i="5"/>
  <c r="M303" i="3"/>
  <c r="L591" i="3"/>
  <c r="Q54" i="3"/>
  <c r="M648" i="3"/>
  <c r="Q766" i="3"/>
  <c r="L648" i="3"/>
  <c r="N105" i="3"/>
  <c r="O63" i="3"/>
  <c r="O787" i="3" s="1"/>
  <c r="O789" i="3" s="1"/>
  <c r="L54" i="3"/>
  <c r="L105" i="3"/>
  <c r="N63" i="3"/>
  <c r="M54" i="3"/>
  <c r="M190" i="3"/>
  <c r="Q9" i="3"/>
  <c r="Q82" i="3"/>
  <c r="L303" i="3"/>
  <c r="J242" i="3"/>
  <c r="J240" i="3"/>
  <c r="J86" i="3"/>
  <c r="J40" i="3"/>
  <c r="J398" i="3"/>
  <c r="J391" i="3"/>
  <c r="J167" i="3"/>
  <c r="J165" i="3"/>
  <c r="J162" i="3"/>
  <c r="J163" i="3"/>
  <c r="J159" i="3"/>
  <c r="J157" i="3"/>
  <c r="J155" i="3"/>
  <c r="J153" i="3"/>
  <c r="J150" i="3"/>
  <c r="J148" i="3"/>
  <c r="J146" i="3"/>
  <c r="J144" i="3"/>
  <c r="J142" i="3"/>
  <c r="J140" i="3"/>
  <c r="J352" i="3"/>
  <c r="J312" i="3"/>
  <c r="M787" i="3" l="1"/>
  <c r="M789" i="3" s="1"/>
  <c r="N787" i="3"/>
  <c r="N789" i="3" s="1"/>
  <c r="Q787" i="3"/>
  <c r="L787" i="3"/>
  <c r="L789" i="3" s="1"/>
  <c r="Q369" i="2"/>
  <c r="L364" i="2"/>
  <c r="L369" i="2" s="1"/>
  <c r="Q789" i="3" l="1"/>
  <c r="O364" i="2"/>
  <c r="R364" i="2"/>
  <c r="Q359" i="2"/>
  <c r="P364" i="2"/>
  <c r="S363" i="2"/>
  <c r="R363" i="2"/>
  <c r="S360" i="2"/>
  <c r="S368" i="2" l="1"/>
  <c r="S369" i="2" s="1"/>
  <c r="J45" i="5"/>
  <c r="P1" i="4"/>
  <c r="S348" i="2"/>
  <c r="R348" i="2"/>
  <c r="Q348" i="2"/>
  <c r="O348" i="2"/>
  <c r="N348" i="2"/>
  <c r="M348" i="2"/>
  <c r="L348" i="2"/>
  <c r="S343" i="2"/>
  <c r="R343" i="2"/>
  <c r="Q343" i="2"/>
  <c r="P343" i="2"/>
  <c r="O343" i="2"/>
  <c r="N343" i="2"/>
  <c r="M343" i="2"/>
  <c r="L343" i="2"/>
  <c r="S341" i="2"/>
  <c r="R341" i="2"/>
  <c r="Q341" i="2"/>
  <c r="P341" i="2"/>
  <c r="N341" i="2"/>
  <c r="M341" i="2"/>
  <c r="L341" i="2"/>
  <c r="S334" i="2"/>
  <c r="R334" i="2"/>
  <c r="Q334" i="2"/>
  <c r="P334" i="2"/>
  <c r="S300" i="2"/>
  <c r="R300" i="2"/>
  <c r="Q300" i="2"/>
  <c r="P300" i="2"/>
  <c r="S193" i="2"/>
  <c r="R193" i="2"/>
  <c r="Q193" i="2"/>
  <c r="P193" i="2"/>
  <c r="O193" i="2"/>
  <c r="N193" i="2"/>
  <c r="L193" i="2"/>
  <c r="S190" i="2"/>
  <c r="R190" i="2"/>
  <c r="Q190" i="2"/>
  <c r="O190" i="2"/>
  <c r="N190" i="2"/>
  <c r="M190" i="2"/>
  <c r="L190" i="2"/>
  <c r="S188" i="2"/>
  <c r="R188" i="2"/>
  <c r="Q188" i="2"/>
  <c r="O188" i="2"/>
  <c r="N188" i="2"/>
  <c r="M188" i="2"/>
  <c r="L188" i="2"/>
  <c r="S182" i="2"/>
  <c r="R182" i="2"/>
  <c r="Q182" i="2"/>
  <c r="O182" i="2"/>
  <c r="L182" i="2"/>
  <c r="S177" i="2"/>
  <c r="R177" i="2"/>
  <c r="Q177" i="2"/>
  <c r="P177" i="2"/>
  <c r="O177" i="2"/>
  <c r="N177" i="2"/>
  <c r="M177" i="2"/>
  <c r="L177" i="2"/>
  <c r="S175" i="2"/>
  <c r="R175" i="2"/>
  <c r="Q175" i="2"/>
  <c r="O175" i="2"/>
  <c r="M175" i="2"/>
  <c r="L175" i="2"/>
  <c r="S163" i="2"/>
  <c r="R163" i="2"/>
  <c r="Q163" i="2"/>
  <c r="P163" i="2"/>
  <c r="O163" i="2"/>
  <c r="M163" i="2"/>
  <c r="L163" i="2"/>
  <c r="S161" i="2"/>
  <c r="R161" i="2"/>
  <c r="Q161" i="2"/>
  <c r="P161" i="2"/>
  <c r="S150" i="2"/>
  <c r="R150" i="2"/>
  <c r="Q150" i="2"/>
  <c r="P150" i="2"/>
  <c r="O150" i="2"/>
  <c r="N150" i="2"/>
  <c r="M150" i="2"/>
  <c r="S144" i="2"/>
  <c r="R144" i="2"/>
  <c r="Q144" i="2"/>
  <c r="P144" i="2"/>
  <c r="O144" i="2"/>
  <c r="M144" i="2"/>
  <c r="L144" i="2"/>
  <c r="P142" i="2"/>
  <c r="R130" i="2"/>
  <c r="Q130" i="2"/>
  <c r="P130" i="2"/>
  <c r="S117" i="2"/>
  <c r="R117" i="2"/>
  <c r="Q117" i="2"/>
  <c r="S99" i="2"/>
  <c r="R99" i="2"/>
  <c r="Q99" i="2"/>
  <c r="P99" i="2"/>
  <c r="O99" i="2"/>
  <c r="S95" i="2"/>
  <c r="R95" i="2"/>
  <c r="Q95" i="2"/>
  <c r="P95" i="2"/>
  <c r="O95" i="2"/>
  <c r="N95" i="2"/>
  <c r="M95" i="2"/>
  <c r="L95" i="2"/>
  <c r="S88" i="2"/>
  <c r="R88" i="2"/>
  <c r="Q88" i="2"/>
  <c r="P88" i="2"/>
  <c r="O88" i="2"/>
  <c r="N88" i="2"/>
  <c r="M88" i="2"/>
  <c r="L88" i="2"/>
  <c r="S86" i="2"/>
  <c r="R86" i="2"/>
  <c r="Q86" i="2"/>
  <c r="P86" i="2"/>
  <c r="M86" i="2"/>
  <c r="L86" i="2"/>
  <c r="S81" i="2"/>
  <c r="R81" i="2"/>
  <c r="Q81" i="2"/>
  <c r="P81" i="2"/>
  <c r="O81" i="2"/>
  <c r="N81" i="2"/>
  <c r="M81" i="2"/>
  <c r="L81" i="2"/>
  <c r="S79" i="2"/>
  <c r="R79" i="2"/>
  <c r="Q79" i="2"/>
  <c r="P79" i="2"/>
  <c r="O79" i="2"/>
  <c r="S75" i="2"/>
  <c r="S64" i="2"/>
  <c r="R64" i="2"/>
  <c r="Q64" i="2"/>
  <c r="P64" i="2"/>
  <c r="S49" i="2"/>
  <c r="R49" i="2"/>
  <c r="Q49" i="2"/>
  <c r="O49" i="2"/>
  <c r="N49" i="2"/>
  <c r="M49" i="2"/>
  <c r="L49" i="2"/>
  <c r="S38" i="2"/>
  <c r="R38" i="2"/>
  <c r="Q38" i="2"/>
  <c r="P38" i="2"/>
  <c r="O38" i="2"/>
  <c r="S4" i="2"/>
  <c r="R4" i="2"/>
  <c r="Q4" i="2"/>
  <c r="P4" i="2"/>
  <c r="O4" i="2"/>
  <c r="N4" i="2"/>
  <c r="M4" i="2"/>
  <c r="L4" i="2"/>
  <c r="S140" i="2" l="1"/>
  <c r="S138" i="2"/>
  <c r="S142" i="2" s="1"/>
  <c r="S118" i="2"/>
  <c r="S130" i="2" s="1"/>
  <c r="S349" i="2" l="1"/>
  <c r="J40" i="5" s="1"/>
  <c r="R354" i="2"/>
  <c r="S350" i="2" l="1"/>
  <c r="S361" i="2"/>
  <c r="S370" i="2" s="1"/>
  <c r="S1" i="2" s="1"/>
  <c r="I36" i="5"/>
  <c r="I47" i="5" s="1"/>
  <c r="J36" i="5"/>
  <c r="J47" i="5" s="1"/>
  <c r="J42" i="5" l="1"/>
  <c r="J46" i="5" s="1"/>
  <c r="J48" i="5" s="1"/>
  <c r="R133" i="2"/>
  <c r="R142" i="2" s="1"/>
  <c r="R67" i="2"/>
  <c r="R75" i="2" l="1"/>
  <c r="R349" i="2" s="1"/>
  <c r="R360" i="2"/>
  <c r="R368" i="2" s="1"/>
  <c r="R350" i="2" l="1"/>
  <c r="I40" i="5"/>
  <c r="R369" i="2"/>
  <c r="R361" i="2"/>
  <c r="G3" i="4"/>
  <c r="O1" i="4" l="1"/>
  <c r="R370" i="2"/>
  <c r="R1" i="2" s="1"/>
  <c r="I42" i="5"/>
  <c r="J522" i="3"/>
  <c r="J417" i="3"/>
  <c r="J466" i="3"/>
  <c r="J189" i="3"/>
  <c r="P346" i="2" l="1"/>
  <c r="P348" i="2" s="1"/>
  <c r="P112" i="2"/>
  <c r="P117" i="2" s="1"/>
  <c r="P189" i="2"/>
  <c r="P190" i="2" s="1"/>
  <c r="P186" i="2"/>
  <c r="P184" i="2"/>
  <c r="P181" i="2"/>
  <c r="P182" i="2" s="1"/>
  <c r="P172" i="2"/>
  <c r="P175" i="2" s="1"/>
  <c r="P74" i="2"/>
  <c r="P72" i="2"/>
  <c r="P71" i="2"/>
  <c r="P66" i="2"/>
  <c r="P75" i="2" s="1"/>
  <c r="P48" i="2"/>
  <c r="P188" i="2" l="1"/>
  <c r="P49" i="2"/>
  <c r="P349" i="2" s="1"/>
  <c r="G40" i="5" s="1"/>
  <c r="J5" i="2" l="1"/>
  <c r="J6" i="2"/>
  <c r="J7" i="2"/>
  <c r="J8" i="2"/>
  <c r="J9" i="2"/>
  <c r="J10" i="2"/>
  <c r="J12" i="2"/>
  <c r="J13" i="2"/>
  <c r="J14" i="2"/>
  <c r="J16" i="2"/>
  <c r="J17" i="2"/>
  <c r="J33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11" i="2"/>
  <c r="J36" i="2"/>
  <c r="J37" i="2"/>
  <c r="J39" i="2"/>
  <c r="J40" i="2"/>
  <c r="J41" i="2"/>
  <c r="J42" i="2"/>
  <c r="J43" i="2"/>
  <c r="J44" i="2"/>
  <c r="J45" i="2"/>
  <c r="J46" i="2"/>
  <c r="J47" i="2"/>
  <c r="J48" i="2"/>
  <c r="J50" i="2"/>
  <c r="J56" i="2"/>
  <c r="J59" i="2"/>
  <c r="J60" i="2"/>
  <c r="J61" i="2"/>
  <c r="J62" i="2"/>
  <c r="J65" i="2"/>
  <c r="J66" i="2"/>
  <c r="J67" i="2"/>
  <c r="J68" i="2"/>
  <c r="J69" i="2"/>
  <c r="J70" i="2"/>
  <c r="J73" i="2"/>
  <c r="J76" i="2"/>
  <c r="J77" i="2"/>
  <c r="J82" i="2"/>
  <c r="J83" i="2"/>
  <c r="J84" i="2"/>
  <c r="J85" i="2"/>
  <c r="J87" i="2"/>
  <c r="J89" i="2"/>
  <c r="J90" i="2"/>
  <c r="J91" i="2"/>
  <c r="J92" i="2"/>
  <c r="J93" i="2"/>
  <c r="J94" i="2"/>
  <c r="J96" i="2"/>
  <c r="J97" i="2"/>
  <c r="J98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1" i="2"/>
  <c r="J132" i="2"/>
  <c r="J133" i="2"/>
  <c r="J134" i="2"/>
  <c r="J135" i="2"/>
  <c r="J136" i="2"/>
  <c r="J137" i="2"/>
  <c r="J138" i="2"/>
  <c r="J140" i="2"/>
  <c r="J141" i="2"/>
  <c r="J143" i="2"/>
  <c r="J145" i="2"/>
  <c r="J146" i="2"/>
  <c r="J147" i="2"/>
  <c r="J148" i="2"/>
  <c r="J149" i="2"/>
  <c r="J151" i="2"/>
  <c r="J152" i="2"/>
  <c r="J153" i="2"/>
  <c r="J154" i="2"/>
  <c r="J155" i="2"/>
  <c r="J156" i="2"/>
  <c r="J157" i="2"/>
  <c r="J158" i="2"/>
  <c r="J160" i="2"/>
  <c r="J162" i="2"/>
  <c r="J164" i="2"/>
  <c r="J169" i="2"/>
  <c r="J170" i="2"/>
  <c r="J165" i="2"/>
  <c r="J166" i="2"/>
  <c r="J167" i="2"/>
  <c r="J168" i="2"/>
  <c r="J171" i="2"/>
  <c r="J172" i="2"/>
  <c r="J173" i="2"/>
  <c r="J176" i="2"/>
  <c r="J178" i="2"/>
  <c r="J179" i="2"/>
  <c r="J180" i="2"/>
  <c r="J181" i="2"/>
  <c r="J183" i="2"/>
  <c r="J187" i="2"/>
  <c r="J191" i="2"/>
  <c r="J259" i="2"/>
  <c r="J220" i="2"/>
  <c r="J195" i="2"/>
  <c r="J201" i="2"/>
  <c r="J210" i="2"/>
  <c r="J216" i="2"/>
  <c r="J218" i="2"/>
  <c r="J234" i="2"/>
  <c r="J240" i="2"/>
  <c r="J241" i="2"/>
  <c r="J252" i="2"/>
  <c r="J272" i="2"/>
  <c r="J283" i="2"/>
  <c r="J285" i="2"/>
  <c r="J286" i="2"/>
  <c r="J289" i="2"/>
  <c r="J242" i="2"/>
  <c r="J260" i="2"/>
  <c r="J231" i="2"/>
  <c r="J221" i="2"/>
  <c r="J199" i="2"/>
  <c r="J246" i="2"/>
  <c r="J197" i="2"/>
  <c r="J261" i="2"/>
  <c r="J263" i="2"/>
  <c r="J276" i="2"/>
  <c r="J299" i="2"/>
  <c r="J262" i="2"/>
  <c r="J202" i="2"/>
  <c r="J213" i="2"/>
  <c r="J214" i="2"/>
  <c r="J227" i="2"/>
  <c r="J229" i="2"/>
  <c r="J236" i="2"/>
  <c r="J238" i="2"/>
  <c r="J271" i="2"/>
  <c r="J277" i="2"/>
  <c r="J196" i="2"/>
  <c r="J233" i="2"/>
  <c r="J232" i="2"/>
  <c r="J235" i="2"/>
  <c r="J275" i="2"/>
  <c r="J211" i="2"/>
  <c r="J212" i="2"/>
  <c r="J217" i="2"/>
  <c r="J245" i="2"/>
  <c r="J284" i="2"/>
  <c r="J288" i="2"/>
  <c r="J267" i="2"/>
  <c r="J268" i="2"/>
  <c r="J269" i="2"/>
  <c r="J301" i="2"/>
  <c r="J302" i="2"/>
  <c r="J303" i="2"/>
  <c r="J306" i="2"/>
  <c r="J307" i="2"/>
  <c r="J308" i="2"/>
  <c r="J310" i="2"/>
  <c r="J311" i="2"/>
  <c r="J312" i="2"/>
  <c r="J313" i="2"/>
  <c r="J315" i="2"/>
  <c r="J316" i="2"/>
  <c r="J319" i="2"/>
  <c r="J322" i="2"/>
  <c r="J323" i="2"/>
  <c r="J328" i="2"/>
  <c r="J314" i="2"/>
  <c r="J320" i="2"/>
  <c r="J321" i="2"/>
  <c r="J304" i="2"/>
  <c r="J324" i="2"/>
  <c r="J309" i="2"/>
  <c r="J318" i="2"/>
  <c r="J325" i="2"/>
  <c r="J327" i="2"/>
  <c r="J305" i="2"/>
  <c r="J329" i="2"/>
  <c r="J330" i="2"/>
  <c r="J331" i="2"/>
  <c r="J332" i="2"/>
  <c r="J333" i="2"/>
  <c r="J100" i="2"/>
  <c r="J101" i="2"/>
  <c r="J102" i="2"/>
  <c r="J103" i="2"/>
  <c r="J104" i="2"/>
  <c r="J105" i="2"/>
  <c r="J106" i="2"/>
  <c r="J108" i="2"/>
  <c r="J111" i="2"/>
  <c r="J109" i="2"/>
  <c r="J114" i="2"/>
  <c r="J115" i="2"/>
  <c r="J335" i="2"/>
  <c r="J338" i="2"/>
  <c r="J339" i="2"/>
  <c r="J340" i="2"/>
  <c r="J336" i="2"/>
  <c r="J342" i="2"/>
  <c r="J345" i="2"/>
  <c r="J346" i="2"/>
  <c r="J3" i="2"/>
  <c r="G26" i="5"/>
  <c r="J4" i="3" l="1"/>
  <c r="J5" i="3"/>
  <c r="J6" i="3"/>
  <c r="J7" i="3"/>
  <c r="J8" i="3"/>
  <c r="J12" i="3"/>
  <c r="J14" i="3"/>
  <c r="J15" i="3"/>
  <c r="J16" i="3"/>
  <c r="J17" i="3"/>
  <c r="J18" i="3"/>
  <c r="J19" i="3"/>
  <c r="J20" i="3"/>
  <c r="J21" i="3"/>
  <c r="J22" i="3"/>
  <c r="J23" i="3"/>
  <c r="J24" i="3"/>
  <c r="J25" i="3"/>
  <c r="J28" i="3"/>
  <c r="J29" i="3"/>
  <c r="J30" i="3"/>
  <c r="J31" i="3"/>
  <c r="J32" i="3"/>
  <c r="J33" i="3"/>
  <c r="J35" i="3"/>
  <c r="J38" i="3"/>
  <c r="J39" i="3"/>
  <c r="J41" i="3"/>
  <c r="J42" i="3"/>
  <c r="J44" i="3"/>
  <c r="J45" i="3"/>
  <c r="J47" i="3"/>
  <c r="J49" i="3"/>
  <c r="J50" i="3"/>
  <c r="J51" i="3"/>
  <c r="J53" i="3"/>
  <c r="J55" i="3"/>
  <c r="J56" i="3"/>
  <c r="J57" i="3"/>
  <c r="J58" i="3"/>
  <c r="J59" i="3"/>
  <c r="J60" i="3"/>
  <c r="J61" i="3"/>
  <c r="J65" i="3"/>
  <c r="J66" i="3"/>
  <c r="J67" i="3"/>
  <c r="J68" i="3"/>
  <c r="J69" i="3"/>
  <c r="J70" i="3"/>
  <c r="J72" i="3"/>
  <c r="J73" i="3"/>
  <c r="J75" i="3"/>
  <c r="J76" i="3"/>
  <c r="J77" i="3"/>
  <c r="J78" i="3"/>
  <c r="J79" i="3"/>
  <c r="J80" i="3"/>
  <c r="J81" i="3"/>
  <c r="J85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3" i="3"/>
  <c r="J104" i="3"/>
  <c r="J106" i="3"/>
  <c r="J107" i="3"/>
  <c r="J108" i="3"/>
  <c r="J109" i="3"/>
  <c r="J381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1" i="3"/>
  <c r="J143" i="3"/>
  <c r="J145" i="3"/>
  <c r="J147" i="3"/>
  <c r="J149" i="3"/>
  <c r="J151" i="3"/>
  <c r="J152" i="3"/>
  <c r="J154" i="3"/>
  <c r="J156" i="3"/>
  <c r="J158" i="3"/>
  <c r="J160" i="3"/>
  <c r="J161" i="3"/>
  <c r="J164" i="3"/>
  <c r="J166" i="3"/>
  <c r="J168" i="3"/>
  <c r="J169" i="3"/>
  <c r="J170" i="3"/>
  <c r="J171" i="3"/>
  <c r="J172" i="3"/>
  <c r="J173" i="3"/>
  <c r="J174" i="3"/>
  <c r="J175" i="3"/>
  <c r="J176" i="3"/>
  <c r="J177" i="3"/>
  <c r="J178" i="3"/>
  <c r="J180" i="3"/>
  <c r="J181" i="3"/>
  <c r="J182" i="3"/>
  <c r="J183" i="3"/>
  <c r="J184" i="3"/>
  <c r="J185" i="3"/>
  <c r="J186" i="3"/>
  <c r="J187" i="3"/>
  <c r="J188" i="3"/>
  <c r="J191" i="3"/>
  <c r="J192" i="3"/>
  <c r="J193" i="3"/>
  <c r="J194" i="3"/>
  <c r="J195" i="3"/>
  <c r="J196" i="3"/>
  <c r="J197" i="3"/>
  <c r="J198" i="3"/>
  <c r="J199" i="3"/>
  <c r="J200" i="3"/>
  <c r="J201" i="3"/>
  <c r="J203" i="3"/>
  <c r="J204" i="3"/>
  <c r="J205" i="3"/>
  <c r="J206" i="3"/>
  <c r="J208" i="3"/>
  <c r="J210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304" i="3"/>
  <c r="J305" i="3"/>
  <c r="J306" i="3"/>
  <c r="J307" i="3"/>
  <c r="J308" i="3"/>
  <c r="J309" i="3"/>
  <c r="J311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3" i="3"/>
  <c r="J354" i="3"/>
  <c r="J355" i="3"/>
  <c r="J356" i="3"/>
  <c r="J357" i="3"/>
  <c r="J358" i="3"/>
  <c r="J359" i="3"/>
  <c r="J360" i="3"/>
  <c r="J361" i="3"/>
  <c r="J362" i="3"/>
  <c r="J366" i="3"/>
  <c r="J367" i="3"/>
  <c r="J368" i="3"/>
  <c r="J369" i="3"/>
  <c r="J376" i="3"/>
  <c r="J377" i="3"/>
  <c r="J378" i="3"/>
  <c r="J379" i="3"/>
  <c r="J382" i="3"/>
  <c r="J383" i="3"/>
  <c r="J384" i="3"/>
  <c r="J385" i="3"/>
  <c r="J386" i="3"/>
  <c r="J387" i="3"/>
  <c r="J388" i="3"/>
  <c r="J389" i="3"/>
  <c r="J390" i="3"/>
  <c r="J392" i="3"/>
  <c r="J393" i="3"/>
  <c r="J394" i="3"/>
  <c r="J395" i="3"/>
  <c r="J396" i="3"/>
  <c r="J397" i="3"/>
  <c r="J399" i="3"/>
  <c r="J400" i="3"/>
  <c r="J402" i="3"/>
  <c r="J403" i="3"/>
  <c r="J404" i="3"/>
  <c r="J405" i="3"/>
  <c r="J406" i="3"/>
  <c r="J407" i="3"/>
  <c r="J408" i="3"/>
  <c r="J411" i="3"/>
  <c r="J414" i="3"/>
  <c r="J416" i="3"/>
  <c r="J419" i="3"/>
  <c r="J420" i="3"/>
  <c r="J422" i="3"/>
  <c r="J423" i="3"/>
  <c r="J424" i="3"/>
  <c r="J426" i="3"/>
  <c r="J425" i="3"/>
  <c r="J427" i="3"/>
  <c r="J428" i="3"/>
  <c r="J429" i="3"/>
  <c r="J430" i="3"/>
  <c r="J431" i="3"/>
  <c r="J432" i="3"/>
  <c r="J435" i="3"/>
  <c r="J436" i="3"/>
  <c r="J437" i="3"/>
  <c r="J439" i="3"/>
  <c r="J440" i="3"/>
  <c r="J442" i="3"/>
  <c r="J443" i="3"/>
  <c r="J444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2" i="3"/>
  <c r="J463" i="3"/>
  <c r="J464" i="3"/>
  <c r="J467" i="3"/>
  <c r="J469" i="3"/>
  <c r="J472" i="3"/>
  <c r="J474" i="3"/>
  <c r="J475" i="3"/>
  <c r="J476" i="3"/>
  <c r="J477" i="3"/>
  <c r="J479" i="3"/>
  <c r="J480" i="3"/>
  <c r="J481" i="3"/>
  <c r="J482" i="3"/>
  <c r="J483" i="3"/>
  <c r="J484" i="3"/>
  <c r="J486" i="3"/>
  <c r="J487" i="3"/>
  <c r="J488" i="3"/>
  <c r="J489" i="3"/>
  <c r="J491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11" i="3"/>
  <c r="J512" i="3"/>
  <c r="J513" i="3"/>
  <c r="J514" i="3"/>
  <c r="J515" i="3"/>
  <c r="J516" i="3"/>
  <c r="J517" i="3"/>
  <c r="J518" i="3"/>
  <c r="J519" i="3"/>
  <c r="J520" i="3"/>
  <c r="J521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2" i="3"/>
  <c r="J593" i="3"/>
  <c r="J594" i="3"/>
  <c r="J595" i="3"/>
  <c r="J596" i="3"/>
  <c r="J598" i="3"/>
  <c r="J599" i="3"/>
  <c r="J600" i="3"/>
  <c r="J601" i="3"/>
  <c r="J603" i="3"/>
  <c r="J604" i="3"/>
  <c r="J605" i="3"/>
  <c r="J606" i="3"/>
  <c r="J607" i="3"/>
  <c r="J610" i="3"/>
  <c r="J611" i="3"/>
  <c r="J612" i="3"/>
  <c r="J613" i="3"/>
  <c r="J614" i="3"/>
  <c r="J615" i="3"/>
  <c r="J616" i="3"/>
  <c r="J617" i="3"/>
  <c r="J618" i="3"/>
  <c r="J619" i="3"/>
  <c r="J620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9" i="3"/>
  <c r="J651" i="3"/>
  <c r="J652" i="3"/>
  <c r="J653" i="3"/>
  <c r="J654" i="3"/>
  <c r="J655" i="3"/>
  <c r="J656" i="3"/>
  <c r="J657" i="3"/>
  <c r="J659" i="3"/>
  <c r="J660" i="3"/>
  <c r="J662" i="3"/>
  <c r="J663" i="3"/>
  <c r="J664" i="3"/>
  <c r="J665" i="3"/>
  <c r="J666" i="3"/>
  <c r="J668" i="3"/>
  <c r="J669" i="3"/>
  <c r="J721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2" i="3"/>
  <c r="J723" i="3"/>
  <c r="J724" i="3"/>
  <c r="J725" i="3"/>
  <c r="J726" i="3"/>
  <c r="J727" i="3"/>
  <c r="J728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2" i="3"/>
  <c r="J763" i="3"/>
  <c r="J765" i="3"/>
  <c r="J244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8" i="3"/>
  <c r="J289" i="3"/>
  <c r="J290" i="3"/>
  <c r="J292" i="3"/>
  <c r="J293" i="3"/>
  <c r="J294" i="3"/>
  <c r="J295" i="3"/>
  <c r="J297" i="3"/>
  <c r="J298" i="3"/>
  <c r="J299" i="3"/>
  <c r="J300" i="3"/>
  <c r="J301" i="3"/>
  <c r="J302" i="3"/>
  <c r="J767" i="3"/>
  <c r="J768" i="3"/>
  <c r="J769" i="3"/>
  <c r="J770" i="3"/>
  <c r="J771" i="3"/>
  <c r="J772" i="3"/>
  <c r="J774" i="3"/>
  <c r="J775" i="3"/>
  <c r="J776" i="3"/>
  <c r="J777" i="3"/>
  <c r="J778" i="3"/>
  <c r="J780" i="3"/>
  <c r="J782" i="3"/>
  <c r="J783" i="3"/>
  <c r="J784" i="3"/>
  <c r="J785" i="3"/>
  <c r="J3" i="3"/>
  <c r="Q133" i="2" l="1"/>
  <c r="Q142" i="2" l="1"/>
  <c r="Q355" i="2" l="1"/>
  <c r="Q354" i="2"/>
  <c r="H22" i="5" l="1"/>
  <c r="N57" i="4" l="1"/>
  <c r="Q67" i="2"/>
  <c r="N58" i="4" l="1"/>
  <c r="N116" i="4"/>
  <c r="Q75" i="2"/>
  <c r="Q349" i="2" s="1"/>
  <c r="E43" i="5"/>
  <c r="D43" i="5"/>
  <c r="C43" i="5"/>
  <c r="N118" i="4" l="1"/>
  <c r="O119" i="4"/>
  <c r="Q350" i="2"/>
  <c r="H40" i="5"/>
  <c r="O158" i="2"/>
  <c r="O161" i="2" s="1"/>
  <c r="N158" i="2"/>
  <c r="N161" i="2" s="1"/>
  <c r="O360" i="2"/>
  <c r="L360" i="2"/>
  <c r="L361" i="2" s="1"/>
  <c r="L370" i="2" s="1"/>
  <c r="L1" i="2" s="1"/>
  <c r="M360" i="2"/>
  <c r="M361" i="2" s="1"/>
  <c r="N360" i="2"/>
  <c r="N361" i="2" s="1"/>
  <c r="Q360" i="2"/>
  <c r="P360" i="2"/>
  <c r="P351" i="2" s="1"/>
  <c r="P350" i="2" s="1"/>
  <c r="Q361" i="2" l="1"/>
  <c r="Q370" i="2" s="1"/>
  <c r="Q1" i="2" s="1"/>
  <c r="P361" i="2"/>
  <c r="P368" i="2"/>
  <c r="P369" i="2" l="1"/>
  <c r="P370" i="2" s="1"/>
  <c r="P1" i="2" s="1"/>
  <c r="H42" i="5"/>
  <c r="N1" i="4"/>
  <c r="L262" i="2" l="1"/>
  <c r="N262" i="2"/>
  <c r="O262" i="2"/>
  <c r="H36" i="5" l="1"/>
  <c r="H47" i="5" s="1"/>
  <c r="F26" i="5"/>
  <c r="D26" i="5"/>
  <c r="L93" i="4" l="1"/>
  <c r="K8" i="4"/>
  <c r="K11" i="4" s="1"/>
  <c r="K3" i="4"/>
  <c r="J3" i="4"/>
  <c r="J4" i="4" l="1"/>
  <c r="K4" i="4"/>
  <c r="L106" i="4"/>
  <c r="L116" i="4"/>
  <c r="L118" i="4" s="1"/>
  <c r="L1" i="4" s="1"/>
  <c r="O245" i="2" l="1"/>
  <c r="O336" i="2"/>
  <c r="O338" i="2"/>
  <c r="O328" i="2"/>
  <c r="O318" i="2"/>
  <c r="O308" i="2"/>
  <c r="O103" i="2"/>
  <c r="O312" i="2"/>
  <c r="O309" i="2"/>
  <c r="O242" i="2"/>
  <c r="O105" i="2"/>
  <c r="O341" i="2" l="1"/>
  <c r="O334" i="2"/>
  <c r="O117" i="2"/>
  <c r="O259" i="2"/>
  <c r="O289" i="2"/>
  <c r="O221" i="2"/>
  <c r="O236" i="2"/>
  <c r="O210" i="2" l="1"/>
  <c r="O202" i="2"/>
  <c r="O240" i="2"/>
  <c r="O276" i="2"/>
  <c r="O196" i="2"/>
  <c r="O283" i="2"/>
  <c r="O271" i="2"/>
  <c r="O229" i="2"/>
  <c r="O227" i="2"/>
  <c r="O220" i="2"/>
  <c r="O300" i="2" s="1"/>
  <c r="O128" i="2"/>
  <c r="O130" i="2" s="1"/>
  <c r="O138" i="2"/>
  <c r="O133" i="2"/>
  <c r="O83" i="2"/>
  <c r="O86" i="2" s="1"/>
  <c r="O65" i="2"/>
  <c r="O75" i="2" s="1"/>
  <c r="O61" i="2"/>
  <c r="O368" i="2"/>
  <c r="O369" i="2" l="1"/>
  <c r="O142" i="2"/>
  <c r="O64" i="2"/>
  <c r="O349" i="2" s="1"/>
  <c r="O361" i="2"/>
  <c r="F43" i="5"/>
  <c r="O350" i="2" l="1"/>
  <c r="F40" i="5"/>
  <c r="O370" i="2"/>
  <c r="O1" i="2" s="1"/>
  <c r="G43" i="5"/>
  <c r="N66" i="2" l="1"/>
  <c r="M66" i="2"/>
  <c r="M75" i="2" s="1"/>
  <c r="L66" i="2"/>
  <c r="L75" i="2" s="1"/>
  <c r="N65" i="2"/>
  <c r="K59" i="4" l="1"/>
  <c r="K77" i="4" l="1"/>
  <c r="K116" i="4"/>
  <c r="K118" i="4" s="1"/>
  <c r="K1" i="4" s="1"/>
  <c r="I70" i="4"/>
  <c r="I77" i="4" l="1"/>
  <c r="M1" i="4"/>
  <c r="N76" i="2" l="1"/>
  <c r="N79" i="2" s="1"/>
  <c r="M76" i="2"/>
  <c r="M79" i="2" s="1"/>
  <c r="L76" i="2"/>
  <c r="L79" i="2" s="1"/>
  <c r="N56" i="2"/>
  <c r="N64" i="2" s="1"/>
  <c r="N181" i="2"/>
  <c r="N182" i="2" s="1"/>
  <c r="N173" i="2"/>
  <c r="N175" i="2" s="1"/>
  <c r="N162" i="2"/>
  <c r="N163" i="2" s="1"/>
  <c r="N143" i="2"/>
  <c r="N144" i="2" s="1"/>
  <c r="N245" i="2"/>
  <c r="N302" i="2"/>
  <c r="M302" i="2"/>
  <c r="M334" i="2" s="1"/>
  <c r="L302" i="2"/>
  <c r="L334" i="2" s="1"/>
  <c r="M245" i="2"/>
  <c r="N328" i="2"/>
  <c r="N100" i="2"/>
  <c r="N105" i="2"/>
  <c r="N214" i="2"/>
  <c r="N285" i="2"/>
  <c r="N240" i="2"/>
  <c r="N241" i="2"/>
  <c r="N210" i="2"/>
  <c r="N300" i="2" s="1"/>
  <c r="N117" i="2" l="1"/>
  <c r="M160" i="2"/>
  <c r="M161" i="2" s="1"/>
  <c r="L160" i="2"/>
  <c r="L161" i="2" s="1"/>
  <c r="N132" i="2" l="1"/>
  <c r="N142" i="2" s="1"/>
  <c r="N128" i="2"/>
  <c r="N130" i="2" s="1"/>
  <c r="M128" i="2"/>
  <c r="L128" i="2"/>
  <c r="M125" i="2"/>
  <c r="M130" i="2" s="1"/>
  <c r="L125" i="2"/>
  <c r="L130" i="2" s="1"/>
  <c r="N98" i="2"/>
  <c r="N99" i="2" s="1"/>
  <c r="N83" i="2" l="1"/>
  <c r="N86" i="2" s="1"/>
  <c r="N68" i="2" l="1"/>
  <c r="N75" i="2" s="1"/>
  <c r="N37" i="2" l="1"/>
  <c r="M27" i="2"/>
  <c r="L27" i="2"/>
  <c r="N320" i="2"/>
  <c r="N334" i="2" s="1"/>
  <c r="N38" i="2" l="1"/>
  <c r="N349" i="2" s="1"/>
  <c r="N350" i="2" l="1"/>
  <c r="E40" i="5"/>
  <c r="I105" i="4"/>
  <c r="J105" i="4"/>
  <c r="J79" i="4"/>
  <c r="J80" i="4" s="1"/>
  <c r="I106" i="4" l="1"/>
  <c r="J25" i="4"/>
  <c r="J26" i="4" l="1"/>
  <c r="N364" i="2"/>
  <c r="M98" i="2" l="1"/>
  <c r="M99" i="2" s="1"/>
  <c r="L98" i="2"/>
  <c r="L99" i="2" s="1"/>
  <c r="G42" i="5" l="1"/>
  <c r="E36" i="5" l="1"/>
  <c r="E37" i="5" s="1"/>
  <c r="F36" i="5"/>
  <c r="G36" i="5"/>
  <c r="M286" i="2" l="1"/>
  <c r="J100" i="4" l="1"/>
  <c r="J106" i="4" s="1"/>
  <c r="J114" i="4" l="1"/>
  <c r="J115" i="4" s="1"/>
  <c r="J109" i="4"/>
  <c r="J110" i="4" s="1"/>
  <c r="I109" i="4"/>
  <c r="I110" i="4" s="1"/>
  <c r="I116" i="4" l="1"/>
  <c r="I118" i="4" s="1"/>
  <c r="I1" i="4" s="1"/>
  <c r="G47" i="5"/>
  <c r="E47" i="5"/>
  <c r="C36" i="5"/>
  <c r="C47" i="5" s="1"/>
  <c r="D16" i="5"/>
  <c r="J71" i="4"/>
  <c r="J70" i="4"/>
  <c r="M364" i="2"/>
  <c r="M369" i="2" s="1"/>
  <c r="M370" i="2" s="1"/>
  <c r="M1" i="2" s="1"/>
  <c r="M105" i="2"/>
  <c r="L105" i="2"/>
  <c r="M104" i="2"/>
  <c r="M102" i="2"/>
  <c r="L102" i="2"/>
  <c r="L245" i="2"/>
  <c r="M240" i="2"/>
  <c r="L240" i="2"/>
  <c r="M236" i="2"/>
  <c r="L236" i="2"/>
  <c r="M220" i="2"/>
  <c r="M300" i="2" s="1"/>
  <c r="M216" i="2"/>
  <c r="L216" i="2"/>
  <c r="L300" i="2" s="1"/>
  <c r="M100" i="2"/>
  <c r="L100" i="2"/>
  <c r="L117" i="2" s="1"/>
  <c r="M56" i="2"/>
  <c r="M64" i="2" s="1"/>
  <c r="L56" i="2"/>
  <c r="L64" i="2" s="1"/>
  <c r="M191" i="2"/>
  <c r="M193" i="2" s="1"/>
  <c r="M178" i="2"/>
  <c r="M182" i="2" s="1"/>
  <c r="L149" i="2"/>
  <c r="L150" i="2" s="1"/>
  <c r="M140" i="2"/>
  <c r="M142" i="2" s="1"/>
  <c r="L138" i="2"/>
  <c r="L142" i="2" s="1"/>
  <c r="M6" i="2"/>
  <c r="L6" i="2"/>
  <c r="J77" i="4" l="1"/>
  <c r="J116" i="4"/>
  <c r="J118" i="4" s="1"/>
  <c r="J1" i="4" s="1"/>
  <c r="L38" i="2"/>
  <c r="L349" i="2" s="1"/>
  <c r="M117" i="2"/>
  <c r="M38" i="2"/>
  <c r="M349" i="2" s="1"/>
  <c r="N368" i="2"/>
  <c r="E42" i="5"/>
  <c r="D36" i="5"/>
  <c r="D47" i="5" s="1"/>
  <c r="F47" i="5"/>
  <c r="M350" i="2" l="1"/>
  <c r="D40" i="5"/>
  <c r="L350" i="2"/>
  <c r="C40" i="5"/>
  <c r="N369" i="2"/>
  <c r="N370" i="2" s="1"/>
  <c r="N1" i="2" s="1"/>
  <c r="D42" i="5"/>
  <c r="C42" i="5"/>
  <c r="D45" i="5"/>
  <c r="C45" i="5"/>
  <c r="F45" i="5"/>
  <c r="C46" i="5" l="1"/>
  <c r="C48" i="5" s="1"/>
  <c r="D46" i="5"/>
  <c r="D48" i="5" s="1"/>
  <c r="E45" i="5"/>
  <c r="E46" i="5" s="1"/>
  <c r="E48" i="5" s="1"/>
  <c r="F42" i="5" l="1"/>
  <c r="F46" i="5" s="1"/>
  <c r="F48" i="5" s="1"/>
  <c r="G45" i="5" l="1"/>
  <c r="G46" i="5" l="1"/>
  <c r="G48" i="5" l="1"/>
  <c r="R1" i="3"/>
  <c r="N1" i="3"/>
  <c r="P1" i="3"/>
  <c r="M1" i="3"/>
  <c r="H45" i="5"/>
  <c r="H46" i="5" s="1"/>
  <c r="H48" i="5" s="1"/>
  <c r="L1" i="3"/>
  <c r="O1" i="3"/>
  <c r="Q1" i="3" l="1"/>
  <c r="J1" i="3" s="1"/>
  <c r="I45" i="5"/>
  <c r="I46" i="5" s="1"/>
  <c r="I48" i="5" s="1"/>
</calcChain>
</file>

<file path=xl/comments1.xml><?xml version="1.0" encoding="utf-8"?>
<comments xmlns="http://schemas.openxmlformats.org/spreadsheetml/2006/main">
  <authors>
    <author>MěÚ Kutná Hora  EKO</author>
  </authors>
  <commentList>
    <comment ref="A2" authorId="0" shapeId="0">
      <text>
        <r>
          <rPr>
            <sz val="9"/>
            <color indexed="81"/>
            <rFont val="Tahoma"/>
            <family val="2"/>
            <charset val="238"/>
          </rPr>
          <t xml:space="preserve">Odvětvové třídění:
Od - oddíl
Pa - paragraf 
</t>
        </r>
      </text>
    </comment>
    <comment ref="B2" authorId="0" shapeId="0">
      <text>
        <r>
          <rPr>
            <sz val="9"/>
            <color indexed="81"/>
            <rFont val="Tahoma"/>
            <family val="2"/>
            <charset val="238"/>
          </rPr>
          <t xml:space="preserve">Druhové třídění:
Sp - seskupení položek;
Po - položka;
vysvětlení: list "položky"
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správce rozpočtových položek: </t>
        </r>
        <r>
          <rPr>
            <sz val="9"/>
            <color indexed="81"/>
            <rFont val="Tahoma"/>
            <family val="2"/>
            <charset val="238"/>
          </rPr>
          <t>list"orJ"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bližší rozlišení akce, organizace, poplatku atd. - </t>
        </r>
        <r>
          <rPr>
            <sz val="9"/>
            <color indexed="81"/>
            <rFont val="Tahoma"/>
            <family val="2"/>
            <charset val="238"/>
          </rPr>
          <t xml:space="preserve">list "OrgC"
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Účelový znak - dotace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Kapitola </t>
        </r>
        <r>
          <rPr>
            <sz val="9"/>
            <color indexed="81"/>
            <rFont val="Tahoma"/>
            <family val="2"/>
            <charset val="238"/>
          </rPr>
          <t>- interní rozlišení</t>
        </r>
      </text>
    </comment>
  </commentList>
</comments>
</file>

<file path=xl/sharedStrings.xml><?xml version="1.0" encoding="utf-8"?>
<sst xmlns="http://schemas.openxmlformats.org/spreadsheetml/2006/main" count="5681" uniqueCount="5166">
  <si>
    <t>PŘÍJMY v Kč</t>
  </si>
  <si>
    <t xml:space="preserve">OdPa </t>
  </si>
  <si>
    <t xml:space="preserve">SpPo </t>
  </si>
  <si>
    <t xml:space="preserve">OrJ  </t>
  </si>
  <si>
    <t xml:space="preserve">OrgC      </t>
  </si>
  <si>
    <t xml:space="preserve">Zj  </t>
  </si>
  <si>
    <t xml:space="preserve">Uz    </t>
  </si>
  <si>
    <t xml:space="preserve">Np   </t>
  </si>
  <si>
    <t xml:space="preserve">Ka </t>
  </si>
  <si>
    <t>Concatenate</t>
  </si>
  <si>
    <t xml:space="preserve">Text                          </t>
  </si>
  <si>
    <t>SK 2018</t>
  </si>
  <si>
    <t>SK 2019</t>
  </si>
  <si>
    <t>Splátky půjček od obyvatelstva(SF)</t>
  </si>
  <si>
    <t>Nahlížení do matrik</t>
  </si>
  <si>
    <t>POKUTY A NÁKLADY ŘÍZENÍ</t>
  </si>
  <si>
    <t>Provedení identifikace osob</t>
  </si>
  <si>
    <t>SPR - Cestovní doklady</t>
  </si>
  <si>
    <t>SPR - Evidence obyvatel</t>
  </si>
  <si>
    <t>SPR - OP - odcizení, ztráta, poškození</t>
  </si>
  <si>
    <t>SPR - OP do 24 hodin</t>
  </si>
  <si>
    <t>SPR - OP do 5 dnů</t>
  </si>
  <si>
    <t>SPR - OP ostatní poplatky</t>
  </si>
  <si>
    <t>SPR - OP pro děti do 15ti let</t>
  </si>
  <si>
    <t>SPR - Potvrzení, změna příjmení</t>
  </si>
  <si>
    <t>SPR - Pronájem varhan - svatby</t>
  </si>
  <si>
    <t>SPR - Převzetí OP u jiného úřadu</t>
  </si>
  <si>
    <t>SPR - Přihlášení k trvalému pobytu</t>
  </si>
  <si>
    <t>SPR - Rušení TP</t>
  </si>
  <si>
    <t>SPR - svatba</t>
  </si>
  <si>
    <t>SPR - Vystavení RL, OL, ÚL</t>
  </si>
  <si>
    <t>Staveb.úřad-sank.platby</t>
  </si>
  <si>
    <t>SÚ - Demolice</t>
  </si>
  <si>
    <t>SÚ - kolaudace</t>
  </si>
  <si>
    <t>SÚ - kopírování</t>
  </si>
  <si>
    <t>SÚ - místní šetření</t>
  </si>
  <si>
    <t>SÚ - stavební povolení</t>
  </si>
  <si>
    <t>SÚ - územní rozhodnutí</t>
  </si>
  <si>
    <t>SÚ - územní souhlas</t>
  </si>
  <si>
    <t>SÚ - výjimka</t>
  </si>
  <si>
    <t>SÚ - změna užívání</t>
  </si>
  <si>
    <t>Příspěvky a náhrady</t>
  </si>
  <si>
    <t>Czech Point  - Obchodní rejstřík</t>
  </si>
  <si>
    <t>Czech Point  - Rejstřík trestů</t>
  </si>
  <si>
    <t>Czech Point  - RT - právnické osoby</t>
  </si>
  <si>
    <t>Czech Point  - výpis bodů řidičů</t>
  </si>
  <si>
    <t>Czech Point  - Živnostenský rejstřík</t>
  </si>
  <si>
    <t>Kopie spisu</t>
  </si>
  <si>
    <t>Náhrada od MVČR sociální pohřby</t>
  </si>
  <si>
    <t>Opisy a ověření listin</t>
  </si>
  <si>
    <t>Ověření podpisu</t>
  </si>
  <si>
    <t>Příjmy z úroků (část)</t>
  </si>
  <si>
    <t>Pokuty, náklady řízení, ost.příjmy v min.letech</t>
  </si>
  <si>
    <t>ŽÚ - osvědčení zemědělce</t>
  </si>
  <si>
    <t>ŽÚ - registrace</t>
  </si>
  <si>
    <t>CU-vynětí z lesního fondu</t>
  </si>
  <si>
    <t>DP FO samostatně výdělečná činnost</t>
  </si>
  <si>
    <t>DP FO z kapitálových výnosů</t>
  </si>
  <si>
    <t>DP FO závislá činnost</t>
  </si>
  <si>
    <t>DP FO závislá činnost. 1,5%</t>
  </si>
  <si>
    <t>DP PO</t>
  </si>
  <si>
    <t>DPH</t>
  </si>
  <si>
    <t>DPPO za obec</t>
  </si>
  <si>
    <t>DzN</t>
  </si>
  <si>
    <t>daň z hazardních her 30%</t>
  </si>
  <si>
    <t>Dílčí daň z technických her</t>
  </si>
  <si>
    <t>Komunální odpad</t>
  </si>
  <si>
    <t>Poplatek ze psů</t>
  </si>
  <si>
    <t>Potvrzení o bezdlužnosti</t>
  </si>
  <si>
    <t>Splátkový kalendář</t>
  </si>
  <si>
    <t>Správní poplatek - VHP</t>
  </si>
  <si>
    <t>Správní poplatek - změna povolení loterie</t>
  </si>
  <si>
    <t>TJ Sparta "nákup tenisové haly" - úroky</t>
  </si>
  <si>
    <t>TJ Sparta "nákup tenisové haly" splátka</t>
  </si>
  <si>
    <t>DOP - průkaz taxislužby</t>
  </si>
  <si>
    <t>DOP - připojování pozem. komunikací</t>
  </si>
  <si>
    <t>DOP - registr řidičů</t>
  </si>
  <si>
    <t>DOP - registr silničních vozidel</t>
  </si>
  <si>
    <t>DOP - stavební povolení</t>
  </si>
  <si>
    <t>DOP - zkouška odborné způsobilosti řidičů</t>
  </si>
  <si>
    <t>DOP - zvláštní užívání silnic</t>
  </si>
  <si>
    <t>Poplatek za převod vozidel - příjem SFŽP</t>
  </si>
  <si>
    <t>ASEKOL - příjem za tříděné odpady</t>
  </si>
  <si>
    <t>DIMATEX CS, spol. s r.o.</t>
  </si>
  <si>
    <t>EKO-KOM - příjem za tříděné odpady</t>
  </si>
  <si>
    <t>ELEKTROWIN - příjem za tříděné odpady</t>
  </si>
  <si>
    <t>Hrobová místa - nájem</t>
  </si>
  <si>
    <t>Hrobová místa - příjem za služby</t>
  </si>
  <si>
    <t>Kolumbární schránky - nájem</t>
  </si>
  <si>
    <t>Odpady - podnikatelé</t>
  </si>
  <si>
    <t>Ostatní záležitosti v dopravě</t>
  </si>
  <si>
    <t>Parkovací karty</t>
  </si>
  <si>
    <t>Poplatek z veřejného prostranství</t>
  </si>
  <si>
    <t>Prodej dřeva</t>
  </si>
  <si>
    <t>Provozování komunikačního a  inf.systému</t>
  </si>
  <si>
    <t>Příj.z poskyt.služeb - umístěni v ZSP</t>
  </si>
  <si>
    <t>Přijaté pojistné náhrady (komunikace)</t>
  </si>
  <si>
    <t>Přijaté pojistné náhrady (zničené odpad.koše)</t>
  </si>
  <si>
    <t>Přijaté pojistné náhrady (zničené VO)</t>
  </si>
  <si>
    <t>Příjem z parkovacích automatů</t>
  </si>
  <si>
    <t>SMS parkovné</t>
  </si>
  <si>
    <t>Ostatní příjmy minulých let (vč.přeprodej MK)</t>
  </si>
  <si>
    <t>ŽP -  místní šetření</t>
  </si>
  <si>
    <t>ŽP - licence lesního hospodáře</t>
  </si>
  <si>
    <t>ŽP - lovecké lístky</t>
  </si>
  <si>
    <t>ŽP - Příjmy z úhrad za dobývání nerostů</t>
  </si>
  <si>
    <t>ŽP - rybářské lístky</t>
  </si>
  <si>
    <t>ŽP - stavební pov. vodohosp. staveb</t>
  </si>
  <si>
    <t>ŽP - upuštění od třídění odpadů</t>
  </si>
  <si>
    <t>FRB -  úroky z půjček</t>
  </si>
  <si>
    <t>FRB - splátky půjček</t>
  </si>
  <si>
    <t>Ostatní příjmy minulých let  (FV)</t>
  </si>
  <si>
    <t>Prodej tiskopisů na náv.látky</t>
  </si>
  <si>
    <t>Pokuty a ostatní příjmy min.let</t>
  </si>
  <si>
    <t>Kostel Sv.Jana Nepomuckého - prodej služeb</t>
  </si>
  <si>
    <t>Kostel Sv.Jana Nepomuckého - pronájem</t>
  </si>
  <si>
    <t>Krásné město</t>
  </si>
  <si>
    <t>Kutnohorské listy - příjem z inzerce</t>
  </si>
  <si>
    <t>ZŠ - NFV vratka</t>
  </si>
  <si>
    <t>Areál Klimeška</t>
  </si>
  <si>
    <t>Areál Klimeška+Kiosek  -nemovitost</t>
  </si>
  <si>
    <t>Autobus. nádraží - nájem</t>
  </si>
  <si>
    <t>Byty - dluh do r. 2000</t>
  </si>
  <si>
    <t>Byty - nájem</t>
  </si>
  <si>
    <t>Byty - služby</t>
  </si>
  <si>
    <t>Byty - soudní náklady</t>
  </si>
  <si>
    <t>Byty - vyúčtování energií (společenství)</t>
  </si>
  <si>
    <t>Byty nepriv. - nájem</t>
  </si>
  <si>
    <t>Byty nepriv. - služby</t>
  </si>
  <si>
    <t>Byty nepriv. - soudní náklady</t>
  </si>
  <si>
    <t>Dačického dům - příjmy z poskyt.služeb</t>
  </si>
  <si>
    <t>Filmaři - nájem</t>
  </si>
  <si>
    <t>Hřiště J.Palacha - využití sportoviště</t>
  </si>
  <si>
    <t>KD Lorec - nájem</t>
  </si>
  <si>
    <t>Lorec ubytovna - nájem</t>
  </si>
  <si>
    <t>MLaR - nájem</t>
  </si>
  <si>
    <t>MLaR - pojistné plnění</t>
  </si>
  <si>
    <t>Nebyt.prost. - pronájem movitých věcí</t>
  </si>
  <si>
    <t>Nebyt.prostory - přef.energií</t>
  </si>
  <si>
    <t>Nebytové prostory - nájem</t>
  </si>
  <si>
    <t>Nebytové prostory - služby</t>
  </si>
  <si>
    <t>Obřadní síň - příjem za služby</t>
  </si>
  <si>
    <t>Pozemky - nájem</t>
  </si>
  <si>
    <t>Přefakturace energie Arriva</t>
  </si>
  <si>
    <t>Psí útulek - přefakturace</t>
  </si>
  <si>
    <t>SK Sparta - nájem</t>
  </si>
  <si>
    <t>Sokolovna Malín - nájemné</t>
  </si>
  <si>
    <t>Sokolovna Malín - využití sportoviště</t>
  </si>
  <si>
    <t>Splátka bytů Benešova I.</t>
  </si>
  <si>
    <t>Splátka bytů Puškinská I.</t>
  </si>
  <si>
    <t>Splátka bytů Puškinská II.</t>
  </si>
  <si>
    <t>Spolkový dům - nájemné</t>
  </si>
  <si>
    <t>Stadion Olympia - nájemné</t>
  </si>
  <si>
    <t>Stadion Olympia - využití sportoviště</t>
  </si>
  <si>
    <t>Technické služby s.r.o. - nájem</t>
  </si>
  <si>
    <t>Ubytovna Trebišovská - přefakturace</t>
  </si>
  <si>
    <t>Ubytovna Trebišovská - soudní náklady</t>
  </si>
  <si>
    <t>Ubytovna Trebišovská - ubytování</t>
  </si>
  <si>
    <t>Ubytovna Vítězná - soudní náklady</t>
  </si>
  <si>
    <t>Ubytovna Vítězná - ubytování</t>
  </si>
  <si>
    <t>ZS - veřejné bruslení</t>
  </si>
  <si>
    <t>ZS - využití sportovní plochy veřejností</t>
  </si>
  <si>
    <t>ZS -SK Sršni - využití sportoviště</t>
  </si>
  <si>
    <t>Prodej - domy</t>
  </si>
  <si>
    <t>Správní poplatek-katastr nemovitostí</t>
  </si>
  <si>
    <t>Věcná břemena - příjmy</t>
  </si>
  <si>
    <t>dotace:</t>
  </si>
  <si>
    <t>Souhrnný dotační vztah</t>
  </si>
  <si>
    <t>Příspěvek na péči</t>
  </si>
  <si>
    <t>Pečovatelská služba</t>
  </si>
  <si>
    <t>Sankturinovský dům</t>
  </si>
  <si>
    <t>Dotace celkem:</t>
  </si>
  <si>
    <t>rekapitulace:</t>
  </si>
  <si>
    <t>Skutečnost 2018</t>
  </si>
  <si>
    <t>Skutečnost 2019</t>
  </si>
  <si>
    <t>1 - DP</t>
  </si>
  <si>
    <t>1 - daň za obec - platím si sobě</t>
  </si>
  <si>
    <t>2 - NP</t>
  </si>
  <si>
    <t>3 - KP</t>
  </si>
  <si>
    <t>4 - D</t>
  </si>
  <si>
    <t>NEINVESTIČNÍ VÝDAJE V Kč</t>
  </si>
  <si>
    <t>text</t>
  </si>
  <si>
    <t>Sk 2018</t>
  </si>
  <si>
    <t>Sk 2019</t>
  </si>
  <si>
    <t>Sociální fond - ošatné</t>
  </si>
  <si>
    <t>Sociální fond - příspěvky zaměstnancům</t>
  </si>
  <si>
    <t>Sociální fond - půjčky</t>
  </si>
  <si>
    <t>Asociace tur.inf.center-čl.příspěvek</t>
  </si>
  <si>
    <t xml:space="preserve"> </t>
  </si>
  <si>
    <t>Průvodcovská služba KH PO - transfer od zřizovatele</t>
  </si>
  <si>
    <t>zz - ostatní nezařazené položky</t>
  </si>
  <si>
    <t>Cestovné (tuzem. i zahraniční)</t>
  </si>
  <si>
    <t>Dačický dům - SP</t>
  </si>
  <si>
    <t>Dačický dům - ZP</t>
  </si>
  <si>
    <t>Klimeška - nemocenská</t>
  </si>
  <si>
    <t>Klimeška - OON</t>
  </si>
  <si>
    <t>Klimeška - SP</t>
  </si>
  <si>
    <t>Klimeška - ZP</t>
  </si>
  <si>
    <t>Kutnohorské listy  - ZP</t>
  </si>
  <si>
    <t>Kutnohorské listy - DPP</t>
  </si>
  <si>
    <t>Kutnohorské listy - SP</t>
  </si>
  <si>
    <t>Městský architekt</t>
  </si>
  <si>
    <t xml:space="preserve">Olympia - OOV - DPP, DPČ </t>
  </si>
  <si>
    <t xml:space="preserve">Olympia - SP </t>
  </si>
  <si>
    <t>Olympia - ZP</t>
  </si>
  <si>
    <t>Povinné úrazové pojistné</t>
  </si>
  <si>
    <t>RADAR - výdaje -SP</t>
  </si>
  <si>
    <t>RADAR - výdaje -ZP</t>
  </si>
  <si>
    <t>Sokolovna Malín - OON</t>
  </si>
  <si>
    <t>Sokolovna Malín - OPPP</t>
  </si>
  <si>
    <t xml:space="preserve">Sokolovna Malín - SP </t>
  </si>
  <si>
    <t>Sokolovna Malín - ZP</t>
  </si>
  <si>
    <t>Vnitřní správa - náhrady mezd v době nemoci</t>
  </si>
  <si>
    <t>Vnitřní správa - ostatní osobní výdaje - dohody</t>
  </si>
  <si>
    <t>Vnitřní správa - pracovní a život.jubilea</t>
  </si>
  <si>
    <t>Vnitřní správa - sociální pojistné</t>
  </si>
  <si>
    <t>Vnitřní správa - zdravotní pojistné</t>
  </si>
  <si>
    <t>ZM - cestovné</t>
  </si>
  <si>
    <t>ZM - sociální pojistné</t>
  </si>
  <si>
    <t>ZM - zdravotní pojistné</t>
  </si>
  <si>
    <t>Od.informatiky - DHDM - hardware</t>
  </si>
  <si>
    <t>Od.informatiky - E-ZAK</t>
  </si>
  <si>
    <t>Od.informatiky - nákup materiálu</t>
  </si>
  <si>
    <t>Od.informatiky - nákup služeb</t>
  </si>
  <si>
    <t>Od.informatiky - opravy a udržování</t>
  </si>
  <si>
    <t>Od.informatiky - programové vybavení</t>
  </si>
  <si>
    <t>Od.informatiky - služby zpracování dat</t>
  </si>
  <si>
    <t>Od.informatiky - Web města</t>
  </si>
  <si>
    <t>Český institut inter.auditorů-čl.přísp.</t>
  </si>
  <si>
    <t>Drobný hmotný majetek</t>
  </si>
  <si>
    <t>omylem se nedal</t>
  </si>
  <si>
    <t>Klubus - Opravy a udržování</t>
  </si>
  <si>
    <t>Klubus - pojistné</t>
  </si>
  <si>
    <t>Klubus - služby telekom. a radiokom.</t>
  </si>
  <si>
    <t>Knihy, předplatné</t>
  </si>
  <si>
    <t>Léky a zdravotnický materiál</t>
  </si>
  <si>
    <t>Mikroregion Kutnohorsko - příspěvek</t>
  </si>
  <si>
    <t>Náhrady (spoluúčast, svědečné, soudní náhrady)</t>
  </si>
  <si>
    <t>Nájemné</t>
  </si>
  <si>
    <t>Nákup materiálu</t>
  </si>
  <si>
    <t>Nákup služeb</t>
  </si>
  <si>
    <t>Opravy a udržování</t>
  </si>
  <si>
    <t>Partnerství pro městskou mobilitu, z.s.</t>
  </si>
  <si>
    <t>Placené pojistné</t>
  </si>
  <si>
    <t>Platba daní a poplatků</t>
  </si>
  <si>
    <t>Pohonné hmoty</t>
  </si>
  <si>
    <t>Pohoštění</t>
  </si>
  <si>
    <t>Pohřby za zesnulé placené obcí</t>
  </si>
  <si>
    <t>Prádlo, oděv a obuv</t>
  </si>
  <si>
    <t>Sdr.historických sídel ČMS</t>
  </si>
  <si>
    <t>Služby pošt</t>
  </si>
  <si>
    <t>Služby telekom. a radiokom.</t>
  </si>
  <si>
    <t>Spolkový dům - materiál</t>
  </si>
  <si>
    <t>Stravování</t>
  </si>
  <si>
    <t>Svaz měst a obcí - příspěvek spolku</t>
  </si>
  <si>
    <t>Školení a vzdělávání</t>
  </si>
  <si>
    <t>Účast. poplatky na konference</t>
  </si>
  <si>
    <t>Věcné dary</t>
  </si>
  <si>
    <t>Platba DPH</t>
  </si>
  <si>
    <t>MP - cestovné</t>
  </si>
  <si>
    <t>MP - DHDM</t>
  </si>
  <si>
    <t>MP - knihy, tisk</t>
  </si>
  <si>
    <t>MP - kolky</t>
  </si>
  <si>
    <t>MP - náhrady mezd v době nemoci</t>
  </si>
  <si>
    <t>MP - nájemné střelnice</t>
  </si>
  <si>
    <t>MP - nákup materiálu</t>
  </si>
  <si>
    <t>MP - nákup služeb</t>
  </si>
  <si>
    <t>MP - nákup služeb - radar</t>
  </si>
  <si>
    <t>MP - ochranné pomůcky</t>
  </si>
  <si>
    <t>MP - OOV</t>
  </si>
  <si>
    <t>MP - opravy a udržování</t>
  </si>
  <si>
    <t>MP - ostatní náhrady</t>
  </si>
  <si>
    <t>MP - ostatní nákupy</t>
  </si>
  <si>
    <t>MP - ostatní platy za pr.práci</t>
  </si>
  <si>
    <t>MP - ostatní výdaje j.n.(obnova MKDS)</t>
  </si>
  <si>
    <t>MP - podlimitní TZ</t>
  </si>
  <si>
    <t>MP - pohonné hmoty</t>
  </si>
  <si>
    <t>MP - poskytnuté náhrady</t>
  </si>
  <si>
    <t>MP - potraviny</t>
  </si>
  <si>
    <t>MP - prádlo, oděv, obuv</t>
  </si>
  <si>
    <t>MP - programové vybavení</t>
  </si>
  <si>
    <t>MP - služby pošt</t>
  </si>
  <si>
    <t>MP - služby telekomunikací</t>
  </si>
  <si>
    <t>MP - služby za zpracování dat</t>
  </si>
  <si>
    <t>MP - sociální pojistné</t>
  </si>
  <si>
    <t>MP - školení</t>
  </si>
  <si>
    <t>MP - školení - radar</t>
  </si>
  <si>
    <t>MP - Účast. poplatky na konference</t>
  </si>
  <si>
    <t>MP - zdravotní pojistné</t>
  </si>
  <si>
    <t>ČMHB-úroky,poplatky</t>
  </si>
  <si>
    <t>Krizová opatření - výdaje</t>
  </si>
  <si>
    <t>Náhrada škody - za Nemocnici KH</t>
  </si>
  <si>
    <t xml:space="preserve">Participativní rozpočet </t>
  </si>
  <si>
    <t>Úrok ČS kontokorent</t>
  </si>
  <si>
    <t>Úrok ČSOB kontokorent</t>
  </si>
  <si>
    <t>Úroky vlastní</t>
  </si>
  <si>
    <t>BESIP - nákup služeb</t>
  </si>
  <si>
    <t>Příspěvek na linkovou dopravu</t>
  </si>
  <si>
    <t>Asanace uhynulých zvířat</t>
  </si>
  <si>
    <t>Deratizace</t>
  </si>
  <si>
    <t>Dětská hřiště - materiál</t>
  </si>
  <si>
    <t>Dětské hřiště - služby</t>
  </si>
  <si>
    <t>Dětské hřiště opravy (mimo TS KH)</t>
  </si>
  <si>
    <t>Hodiny - oprava</t>
  </si>
  <si>
    <t>Hrobová místa-vratky nájmů</t>
  </si>
  <si>
    <t>Hřbitov - materiál</t>
  </si>
  <si>
    <t>Hřbitov - ošetření stromů</t>
  </si>
  <si>
    <t>Hřbitovní zdi - služby</t>
  </si>
  <si>
    <t>Informační tabule - materiál</t>
  </si>
  <si>
    <t>Komunální služby - nákup služeb</t>
  </si>
  <si>
    <t>Komunikace - služby</t>
  </si>
  <si>
    <r>
      <t xml:space="preserve">Liga pro ochranu zvířat VPS </t>
    </r>
    <r>
      <rPr>
        <b/>
        <sz val="11"/>
        <rFont val="Calibri"/>
        <family val="2"/>
        <charset val="238"/>
        <scheme val="minor"/>
      </rPr>
      <t>příspěvek</t>
    </r>
  </si>
  <si>
    <t>Mobiliář - oprava - Lesní stezky</t>
  </si>
  <si>
    <t>Mobiliář - služby</t>
  </si>
  <si>
    <t>Monitoring podzemních vod Kaňk</t>
  </si>
  <si>
    <t>Nákup mobiliáře</t>
  </si>
  <si>
    <t>Odpad - prevence vzniku - materiál</t>
  </si>
  <si>
    <t>Odpad: komunální - svoz</t>
  </si>
  <si>
    <t>Odpad: likvidace černých skládek</t>
  </si>
  <si>
    <t>Odpad: nebezpečný MVE plus</t>
  </si>
  <si>
    <t>Odpad: objemný - svoz</t>
  </si>
  <si>
    <t>Odpad: pronájem sb.nádob - AVE</t>
  </si>
  <si>
    <t>Odpad: pronájem sb.nádob MVE</t>
  </si>
  <si>
    <t>Odpad: tříděný MVE plus</t>
  </si>
  <si>
    <t>Odpad: úklid kontejnerového stání</t>
  </si>
  <si>
    <t>Odstran.havárie-monitoring.-Kremnická</t>
  </si>
  <si>
    <t>Odtahy vraků</t>
  </si>
  <si>
    <t>Opravy vandalismu (poj.událost)</t>
  </si>
  <si>
    <t>Ost.záležitosti v komunikacích - studie</t>
  </si>
  <si>
    <t>Ostatní opravy a udržování</t>
  </si>
  <si>
    <t>Parkovací automaty/chodníky - opravy</t>
  </si>
  <si>
    <t>Provoz psího útulku</t>
  </si>
  <si>
    <t>Revize mostů</t>
  </si>
  <si>
    <t>Sběrný dvůr -  staveb.směsný</t>
  </si>
  <si>
    <t>Sběrný dvůr - komunální odpad</t>
  </si>
  <si>
    <t>Sběrný dvůr - nebezpečný odpad</t>
  </si>
  <si>
    <t>Sběrný dvůr - objemný odpad</t>
  </si>
  <si>
    <t>Sběrný dvůr - provoz</t>
  </si>
  <si>
    <t>Sběrný dvůr - rostlinný odpad</t>
  </si>
  <si>
    <t>Sběrný dvůr - tříděný odpad</t>
  </si>
  <si>
    <t>Slavnostní osvětlení - DrHDM</t>
  </si>
  <si>
    <t>Slavnostní osvětlení - opravy</t>
  </si>
  <si>
    <t>Slavnostní osvětlení-služby, revize</t>
  </si>
  <si>
    <t>Svoz jedlých olejů EKO-PF-nádoby</t>
  </si>
  <si>
    <t>TS - autobusové čekárny</t>
  </si>
  <si>
    <t>TS - čestné hroby - údržba</t>
  </si>
  <si>
    <t>TS - dětské hřiště opravy a obnova</t>
  </si>
  <si>
    <t>TS - infor.systém,tabule,kiosky</t>
  </si>
  <si>
    <t>TS - komunikace úklid (služby)</t>
  </si>
  <si>
    <t xml:space="preserve">TS - mobiliář-opravy </t>
  </si>
  <si>
    <t>TS - nákup odpadkových košů</t>
  </si>
  <si>
    <t>TS - odpadkové koše  - opravy</t>
  </si>
  <si>
    <t>TS - opravy komunikace</t>
  </si>
  <si>
    <t>TS - pítka a studně</t>
  </si>
  <si>
    <t>TS - podzemní kontejnery</t>
  </si>
  <si>
    <t>TS - provoz hřbitovů</t>
  </si>
  <si>
    <t>TS - provoz obřadní síně</t>
  </si>
  <si>
    <t>TS - přemístění odpad. košů</t>
  </si>
  <si>
    <t>TS - psí koše</t>
  </si>
  <si>
    <t>TS - rostlinný odpad</t>
  </si>
  <si>
    <t>TS - semafory - revize</t>
  </si>
  <si>
    <t>TS - služby odpadkové koše</t>
  </si>
  <si>
    <t>TS - smlouva - veřejná zeleň( služby) - Lesní stezky</t>
  </si>
  <si>
    <t>TS - správa park.automatů - mandátní smlouva</t>
  </si>
  <si>
    <t>TS - svoz kovu</t>
  </si>
  <si>
    <t>TS - tříděný odpad sklo</t>
  </si>
  <si>
    <t>TS - veřejná zeleň (služby)</t>
  </si>
  <si>
    <t>TS - VO  opravy</t>
  </si>
  <si>
    <t>TS - VO - zajištění osvětlení k ČKD (mimo rámc. sml. TS)</t>
  </si>
  <si>
    <t>TS - VO a vánoční osvětl. služby</t>
  </si>
  <si>
    <t>TS - zálivka</t>
  </si>
  <si>
    <t>TS - zimní údržba komunikace</t>
  </si>
  <si>
    <t>Veř.zeleň - stromy, havárie</t>
  </si>
  <si>
    <t>Veř.zeleň -Park Vlašský dvůr - materiál</t>
  </si>
  <si>
    <t>Veř.zeleň -Park Vlašský dvůr - opravy</t>
  </si>
  <si>
    <t>Veřejná zeleň - materiál</t>
  </si>
  <si>
    <t>Veřejná zeleň - posudky</t>
  </si>
  <si>
    <t>Věžní hodiny - nákup služeb</t>
  </si>
  <si>
    <t>VO - defektoskopie stožárů</t>
  </si>
  <si>
    <t>VO - opravy (zemní svítidla mimo TS)</t>
  </si>
  <si>
    <t>VO - služby</t>
  </si>
  <si>
    <t>WC veřejná</t>
  </si>
  <si>
    <t>Záchytná stanice pro psy-oprava</t>
  </si>
  <si>
    <t>Nespecifikované rezervy</t>
  </si>
  <si>
    <t>Právní služby</t>
  </si>
  <si>
    <t>Rybník Lorčák</t>
  </si>
  <si>
    <t>Českomor.mysl.jednota - Posouzení trofejí  - služby</t>
  </si>
  <si>
    <t>Knihy, tisk</t>
  </si>
  <si>
    <t>Konzultační, porad. a právní služby</t>
  </si>
  <si>
    <t>Ochrana přírody - služby</t>
  </si>
  <si>
    <t>Podzemní voda, monitoring</t>
  </si>
  <si>
    <t>Stanice pro handicap.živočichy</t>
  </si>
  <si>
    <t>TS - protipovodňová opatření</t>
  </si>
  <si>
    <t>zz - ostatní nezařazené položky (dotace)</t>
  </si>
  <si>
    <t>Posudky,konzultace,dokumentace</t>
  </si>
  <si>
    <t>Územní plánování - služby</t>
  </si>
  <si>
    <t>FRB - poplatky</t>
  </si>
  <si>
    <t>FRB - poskytnuté půjčky</t>
  </si>
  <si>
    <t xml:space="preserve">Dotace program města KH - soc.účely </t>
  </si>
  <si>
    <t>Dotační program - soc.oblast</t>
  </si>
  <si>
    <r>
      <t xml:space="preserve">IOP - Klubus - </t>
    </r>
    <r>
      <rPr>
        <b/>
        <sz val="11"/>
        <rFont val="Calibri"/>
        <family val="2"/>
        <charset val="238"/>
        <scheme val="minor"/>
      </rPr>
      <t>udržitelnost (r.2020)</t>
    </r>
  </si>
  <si>
    <t>Pečovatelská služba - Klub důchodců - provoz</t>
  </si>
  <si>
    <t>Pečovatelská služba - Klub důchodců - příspěvek</t>
  </si>
  <si>
    <t>Rezerva OSVZ</t>
  </si>
  <si>
    <t>Zachování památek - služby</t>
  </si>
  <si>
    <t>Adventní trhy</t>
  </si>
  <si>
    <t>Dotační programy - kultura - velké projekty a malé projekty</t>
  </si>
  <si>
    <t>Galerie F.J. - dotace (včetně FV)</t>
  </si>
  <si>
    <t>GASK - sml.o vzájemné spolupráci</t>
  </si>
  <si>
    <t>Krásné město - časopis</t>
  </si>
  <si>
    <t>Kronika - služby</t>
  </si>
  <si>
    <r>
      <t xml:space="preserve">Kultura do města, z.s.- </t>
    </r>
    <r>
      <rPr>
        <b/>
        <sz val="11"/>
        <rFont val="Calibri"/>
        <family val="2"/>
        <charset val="238"/>
        <scheme val="minor"/>
      </rPr>
      <t>příspěvek</t>
    </r>
  </si>
  <si>
    <t>Kutnohorské listy výroba, služby spojené</t>
  </si>
  <si>
    <r>
      <t xml:space="preserve">Kutnohorsko.cz - o.p.s. - </t>
    </r>
    <r>
      <rPr>
        <b/>
        <sz val="11"/>
        <rFont val="Calibri"/>
        <family val="2"/>
        <charset val="238"/>
        <scheme val="minor"/>
      </rPr>
      <t>příspěvek</t>
    </r>
  </si>
  <si>
    <t>Kutnohorský fotoklub z.s.</t>
  </si>
  <si>
    <r>
      <t xml:space="preserve">Kutnohorský komorní orchestr z. s. </t>
    </r>
    <r>
      <rPr>
        <b/>
        <sz val="11"/>
        <rFont val="Calibri"/>
        <family val="2"/>
        <charset val="238"/>
        <scheme val="minor"/>
      </rPr>
      <t>příspěvek</t>
    </r>
  </si>
  <si>
    <r>
      <t xml:space="preserve">Mezinárodní kytarová soutěž - </t>
    </r>
    <r>
      <rPr>
        <b/>
        <sz val="11"/>
        <rFont val="Calibri"/>
        <family val="2"/>
        <charset val="238"/>
        <scheme val="minor"/>
      </rPr>
      <t>výdaje celkem</t>
    </r>
  </si>
  <si>
    <r>
      <t xml:space="preserve">Mozaika - Kaňk z.s.- </t>
    </r>
    <r>
      <rPr>
        <b/>
        <sz val="11"/>
        <rFont val="Calibri"/>
        <family val="2"/>
        <charset val="238"/>
        <scheme val="minor"/>
      </rPr>
      <t>příspěvek</t>
    </r>
  </si>
  <si>
    <r>
      <t xml:space="preserve">Nadace Kutná Hora - památka UNESCO  - </t>
    </r>
    <r>
      <rPr>
        <b/>
        <sz val="11"/>
        <rFont val="Calibri"/>
        <family val="2"/>
        <charset val="238"/>
        <scheme val="minor"/>
      </rPr>
      <t>příspěvek VPP</t>
    </r>
  </si>
  <si>
    <t>Novoroční ohňostroj výdaje</t>
  </si>
  <si>
    <r>
      <t xml:space="preserve">Společnost Modrý svět - </t>
    </r>
    <r>
      <rPr>
        <b/>
        <sz val="11"/>
        <rFont val="Calibri"/>
        <family val="2"/>
        <charset val="238"/>
        <scheme val="minor"/>
      </rPr>
      <t>příspěvek</t>
    </r>
  </si>
  <si>
    <t>Spolkový dům - výdaje</t>
  </si>
  <si>
    <t>Sportovec roku - výdaje</t>
  </si>
  <si>
    <t>Svatováclavské slavnosti - výdaje</t>
  </si>
  <si>
    <r>
      <t xml:space="preserve">Učitelský smíšený pěvecký sbor Tyl, z.s. - </t>
    </r>
    <r>
      <rPr>
        <b/>
        <sz val="11"/>
        <rFont val="Calibri"/>
        <family val="2"/>
        <charset val="238"/>
        <scheme val="minor"/>
      </rPr>
      <t>příspěvek</t>
    </r>
  </si>
  <si>
    <t>Asociace sportovních klubů - Olympiáda dětí KH</t>
  </si>
  <si>
    <t>Český volejbalový svaz</t>
  </si>
  <si>
    <t>MŠ - příspěvek na provoz</t>
  </si>
  <si>
    <t>MŠ Pohádka - příspěvek na provoz</t>
  </si>
  <si>
    <t>Olympia Spartan Training KH, z.s.</t>
  </si>
  <si>
    <t>POD HORAMI o.s.</t>
  </si>
  <si>
    <t>Příspěvkový program - sport</t>
  </si>
  <si>
    <t>Příspěvkový program - školství</t>
  </si>
  <si>
    <t>SK Sršni Kutná Hora, z.s. - využití sportoviště</t>
  </si>
  <si>
    <t>Sparta KH z.s. - provoz</t>
  </si>
  <si>
    <t>Sport - rezerva</t>
  </si>
  <si>
    <t>Sportovní oddíly - registrovaní žáci</t>
  </si>
  <si>
    <t>ŠJ - příspěvek na provoz</t>
  </si>
  <si>
    <t>TJ Sokol Malín, z.s.</t>
  </si>
  <si>
    <t>TJ Sparta Kutná Hora, z.s. - plavecký krytý bazén</t>
  </si>
  <si>
    <t xml:space="preserve">TJ Sparta Kutná Hora, z.s. - Plovárna </t>
  </si>
  <si>
    <t>TJ Viktoria Sedlec, z.s.</t>
  </si>
  <si>
    <t>ZŠ J. Palacha - příspěvek na provoz</t>
  </si>
  <si>
    <t>ZŠ KS - příspěvek na provoz</t>
  </si>
  <si>
    <t>ZŠ TGM - příspěvek na provoz</t>
  </si>
  <si>
    <t>ZŠ Žižkov - příspěvek na provoz</t>
  </si>
  <si>
    <t>ZUŠ - příspěvek na provoz</t>
  </si>
  <si>
    <t>Zachování památek - opravy</t>
  </si>
  <si>
    <t>Zachování památek -posudky, dokument.</t>
  </si>
  <si>
    <t>Fond regenerace - FO příspěvky</t>
  </si>
  <si>
    <t>Fond regenerace - příspěvky církvi</t>
  </si>
  <si>
    <t>Fond regenerace - reklamní zařízení</t>
  </si>
  <si>
    <t>Fond regenerace - služby peněžních ústavů</t>
  </si>
  <si>
    <t>Byty - el. energie</t>
  </si>
  <si>
    <t>Byty - platba za inzeráty</t>
  </si>
  <si>
    <t>Byty - plyn</t>
  </si>
  <si>
    <t>Byty - sběrné nádoby - nájem</t>
  </si>
  <si>
    <t>Byty - teplo</t>
  </si>
  <si>
    <t>Byty - voda</t>
  </si>
  <si>
    <t>Byty - vyúčtování</t>
  </si>
  <si>
    <t>Byty - zpracování dat za teplo</t>
  </si>
  <si>
    <t>Cihlářská 17 - plyn</t>
  </si>
  <si>
    <t>Cihlářská 17 - voda</t>
  </si>
  <si>
    <t>Dačického dům - plyn</t>
  </si>
  <si>
    <t>Dačického dům - voda</t>
  </si>
  <si>
    <t>Hala BIOS - el. energie</t>
  </si>
  <si>
    <t>Hala BIOS - plyn</t>
  </si>
  <si>
    <t>Hala BIOS - voda</t>
  </si>
  <si>
    <t>Hřbitovy - voda</t>
  </si>
  <si>
    <t>Hřiště Sokolák - plyn</t>
  </si>
  <si>
    <t>Hřiště Sokolák - voda</t>
  </si>
  <si>
    <t>IC - HN - teplo</t>
  </si>
  <si>
    <t>IC - HN - voda</t>
  </si>
  <si>
    <t>IC - HN - nájemné</t>
  </si>
  <si>
    <t>Kino - nájemné</t>
  </si>
  <si>
    <t>Klimeška - elektřina</t>
  </si>
  <si>
    <t>Klimeška - plyn</t>
  </si>
  <si>
    <t>Klimeška - voda</t>
  </si>
  <si>
    <t>Nebytové prostory - plyn</t>
  </si>
  <si>
    <t>Nebytové prostory - teplo</t>
  </si>
  <si>
    <t>Nebytové prostory - voda</t>
  </si>
  <si>
    <t>Nebytové prostory - vyúčtování</t>
  </si>
  <si>
    <t>Neprivatizované  nebyty - vyúčtování</t>
  </si>
  <si>
    <t>Neprivatizované byty - el.en.</t>
  </si>
  <si>
    <t>Neprivatizované byty - fond oprav</t>
  </si>
  <si>
    <t>Neprivatizované byty - ostatní služby</t>
  </si>
  <si>
    <t>Neprivatizované byty - služby</t>
  </si>
  <si>
    <t>Neprivatizované byty - teplo</t>
  </si>
  <si>
    <t>Neprivatizované byty - voda</t>
  </si>
  <si>
    <t>Neprivatizované byty - vyúčt.</t>
  </si>
  <si>
    <t>Neprivatizované byty-teplá voda</t>
  </si>
  <si>
    <t>Olympia - plyn</t>
  </si>
  <si>
    <t>Olympia - studená voda</t>
  </si>
  <si>
    <t>Park Vlašský dvůr - studená voda</t>
  </si>
  <si>
    <t>Poplatky za vymáhání pohledávek</t>
  </si>
  <si>
    <t>Pozemky - nájemné</t>
  </si>
  <si>
    <t>Pozemky - posudky</t>
  </si>
  <si>
    <t>Psí útulek - voda</t>
  </si>
  <si>
    <t>Radnická 178 - plyn</t>
  </si>
  <si>
    <t>Radnická 178 - voda</t>
  </si>
  <si>
    <t>Slavnostní osvětlení - el.en.</t>
  </si>
  <si>
    <t>Sokolovna Malín - plyn</t>
  </si>
  <si>
    <t>Sokolovna Malín - studená voda</t>
  </si>
  <si>
    <t>Spolkový dům - plyn</t>
  </si>
  <si>
    <t>Spolkový dům - studená voda</t>
  </si>
  <si>
    <t>Spoluúčast pojistného</t>
  </si>
  <si>
    <t>Ubytovna Trebišovská - el.en.</t>
  </si>
  <si>
    <t>Ubytovna Trebišovská - sb.nádoby</t>
  </si>
  <si>
    <t>Ubytovna Trebišovská - teplo</t>
  </si>
  <si>
    <t>Ubytovna Trebišovská - voda</t>
  </si>
  <si>
    <t>Václavské nám. 182 - el.en.</t>
  </si>
  <si>
    <t>Václavské nám. 182 - plyn</t>
  </si>
  <si>
    <t>Václavské náměstí 182 - voda</t>
  </si>
  <si>
    <t>Vlašský dvůr  - el. energie</t>
  </si>
  <si>
    <t>Vlašský dvůr - plyn</t>
  </si>
  <si>
    <t>Vlašský dvůr - voda</t>
  </si>
  <si>
    <t>Vorlíčkovy sady - u sv. Barbory - voda</t>
  </si>
  <si>
    <t>ZS - elektrická energie</t>
  </si>
  <si>
    <t>ZS - plyn</t>
  </si>
  <si>
    <t>ZS - voda</t>
  </si>
  <si>
    <t>Byty - materiál</t>
  </si>
  <si>
    <t>Byty - opravy</t>
  </si>
  <si>
    <t>Byty - služby, revize</t>
  </si>
  <si>
    <t>Byty - studie, znal.posudky</t>
  </si>
  <si>
    <t>Byty - telefony</t>
  </si>
  <si>
    <t>Cihelna - služby</t>
  </si>
  <si>
    <t>Dačického dům - licence ESET</t>
  </si>
  <si>
    <t>Dačického dům - materiál</t>
  </si>
  <si>
    <t>Dačického dům - opravy</t>
  </si>
  <si>
    <t>Dačického dům - služby</t>
  </si>
  <si>
    <t>Klimeška - telekom. popl.</t>
  </si>
  <si>
    <t>KD Lorec - opravy a údržba</t>
  </si>
  <si>
    <t>KD LOREC - služby, revize</t>
  </si>
  <si>
    <t>Kino - opravy</t>
  </si>
  <si>
    <t>Kino - služby</t>
  </si>
  <si>
    <t>Klimeška - DrHDM</t>
  </si>
  <si>
    <t>Klimeška - materiál</t>
  </si>
  <si>
    <t>Klimeška - nájem</t>
  </si>
  <si>
    <t>Klimeška - opravy</t>
  </si>
  <si>
    <t>Klimeška - služby</t>
  </si>
  <si>
    <t>Klimeška - zboží</t>
  </si>
  <si>
    <t>Kostel SJN - opravy</t>
  </si>
  <si>
    <t>Kostel SJN - služby</t>
  </si>
  <si>
    <t>Nebytové prostory - materiál</t>
  </si>
  <si>
    <t>Nebytové prostory - opravy</t>
  </si>
  <si>
    <t>Nebytové prostory - posudky</t>
  </si>
  <si>
    <t>Radnická 178 - opravy</t>
  </si>
  <si>
    <t>Radnická 178 - služby, revize</t>
  </si>
  <si>
    <t>Smuteční síň - opravy</t>
  </si>
  <si>
    <t>Sokolovna Malín - DrHDM</t>
  </si>
  <si>
    <t>Sokolovna Malín - materiál</t>
  </si>
  <si>
    <t>Sokolovna Malín - opravy</t>
  </si>
  <si>
    <t>Sparta - opravy oken, dveří, fasády</t>
  </si>
  <si>
    <t>Společné prostory - opravy</t>
  </si>
  <si>
    <t>Spolkový dům - opravy</t>
  </si>
  <si>
    <t>Spolkový dům - služby, revize</t>
  </si>
  <si>
    <t>Spolkový dům - telefon</t>
  </si>
  <si>
    <t>Stadion Olympia - DrHDM</t>
  </si>
  <si>
    <t>Stadion Olympia - materiál</t>
  </si>
  <si>
    <t>Stadion Olympia - opravy</t>
  </si>
  <si>
    <t>Stadion Olympia - PHM</t>
  </si>
  <si>
    <t>Stadion Olympia - služby, revize</t>
  </si>
  <si>
    <t>Ubytovna Trebišovská - DrHDM</t>
  </si>
  <si>
    <t>Ubytovna Trebišovská - materiál</t>
  </si>
  <si>
    <t>Ubytovna Trebišovská - opravy</t>
  </si>
  <si>
    <t>Ubytovna Trebišovská - služby</t>
  </si>
  <si>
    <t>Václavské nám. 182 - opravy</t>
  </si>
  <si>
    <t>Václavské nám. 182 - služby</t>
  </si>
  <si>
    <t>Vlašský dvůr - opravy</t>
  </si>
  <si>
    <t>Vlašský dvůr - služby</t>
  </si>
  <si>
    <t>ZS - DrHDM</t>
  </si>
  <si>
    <t>ZS - materiál</t>
  </si>
  <si>
    <t>ZS - opravy</t>
  </si>
  <si>
    <t>ZS - služby, revize</t>
  </si>
  <si>
    <t>ZS - telefon</t>
  </si>
  <si>
    <t>Bytové domy - znalecké posudky</t>
  </si>
  <si>
    <t>Geometrické plány</t>
  </si>
  <si>
    <t>Inzeráty</t>
  </si>
  <si>
    <t>Nákup kolků</t>
  </si>
  <si>
    <t>Podlimitní věcná břemena</t>
  </si>
  <si>
    <t>Pozemky - znalecké posudky</t>
  </si>
  <si>
    <t>Správní popl.placené jiné obci</t>
  </si>
  <si>
    <t>Znalecké posudky-nebytové domy</t>
  </si>
  <si>
    <t>bez vzorce dle FIN</t>
  </si>
  <si>
    <t>INVESTIČNÍ VÝDAJE V Kč</t>
  </si>
  <si>
    <t>skutečnost 2018</t>
  </si>
  <si>
    <t>skutečnost 2019</t>
  </si>
  <si>
    <t>Výpočetní technika</t>
  </si>
  <si>
    <t>Varovná protipovodňová opatřen</t>
  </si>
  <si>
    <t>Chodník Opletalova</t>
  </si>
  <si>
    <t>Parkoviště Malín</t>
  </si>
  <si>
    <t>VO-ul.Želivského čp. 585-590,940</t>
  </si>
  <si>
    <t>VO Slévárenská</t>
  </si>
  <si>
    <t>VO Neškaredice</t>
  </si>
  <si>
    <t>VO Novodvorská Malín</t>
  </si>
  <si>
    <t>VO Tachovská</t>
  </si>
  <si>
    <t>VO Palackého náměstí</t>
  </si>
  <si>
    <t>VO Kollárova</t>
  </si>
  <si>
    <t>VO Václavské náměstí</t>
  </si>
  <si>
    <t>Zdroje financování investičních akcí (rezerva)</t>
  </si>
  <si>
    <t xml:space="preserve">Revitalizace hřbitovů </t>
  </si>
  <si>
    <t>Vlašský dvůr</t>
  </si>
  <si>
    <t>Klimeška III.etapa</t>
  </si>
  <si>
    <t>Komunikace Kaňk</t>
  </si>
  <si>
    <t>Komunikace Na Náměti</t>
  </si>
  <si>
    <t>Komunikace Fučíkova</t>
  </si>
  <si>
    <t>Komunikace Roháčova, část Rudní, část Uhelná</t>
  </si>
  <si>
    <t>Chodník Gruntecká</t>
  </si>
  <si>
    <t>Sídliště Šipší</t>
  </si>
  <si>
    <t>Revitalizace jezu - Wagentknechtův mlýn</t>
  </si>
  <si>
    <t>Inv.příspěvky na kanalizaci</t>
  </si>
  <si>
    <t>Územní plán</t>
  </si>
  <si>
    <t>Galerie Felixe Jeneweina</t>
  </si>
  <si>
    <t>Sparta Kutná Hora, z. s.
Kutná Hora, Šipší, U Lorce 57</t>
  </si>
  <si>
    <t>ZŠ TGM</t>
  </si>
  <si>
    <t>Zachování památek - investice</t>
  </si>
  <si>
    <t>Kollárova 589+590</t>
  </si>
  <si>
    <t>Zimní stadion</t>
  </si>
  <si>
    <t>Stadion Olympia</t>
  </si>
  <si>
    <t xml:space="preserve">Dům s peč. službou </t>
  </si>
  <si>
    <t>WC Libušina ulice</t>
  </si>
  <si>
    <t>Tebis</t>
  </si>
  <si>
    <t>Pozemky</t>
  </si>
  <si>
    <t>Věcná břemena po zařazení do majetku</t>
  </si>
  <si>
    <t>Věcná břemena v době výstavby</t>
  </si>
  <si>
    <t>Výkupy pozemků</t>
  </si>
  <si>
    <t>Financování v Kč</t>
  </si>
  <si>
    <t>skutečnost</t>
  </si>
  <si>
    <t>rozpočtová skladba</t>
  </si>
  <si>
    <t>Text rozpočtu</t>
  </si>
  <si>
    <t>správce</t>
  </si>
  <si>
    <t>SpPo</t>
  </si>
  <si>
    <t>VEDENÍ MĚSTA</t>
  </si>
  <si>
    <t>splátka kontokorentního účtu</t>
  </si>
  <si>
    <t>splátky ostatní</t>
  </si>
  <si>
    <r>
      <t xml:space="preserve">splátka - úvěr ČMHB Puškinská I. byty z r.2000 </t>
    </r>
    <r>
      <rPr>
        <i/>
        <sz val="11"/>
        <rFont val="Calibri"/>
        <family val="2"/>
        <charset val="238"/>
        <scheme val="minor"/>
      </rPr>
      <t>(13,51 mil. Kč)</t>
    </r>
  </si>
  <si>
    <r>
      <t xml:space="preserve">splátka - úvěr ČMHB Puškinská II. byty z r. 2001 </t>
    </r>
    <r>
      <rPr>
        <i/>
        <sz val="11"/>
        <rFont val="Calibri"/>
        <family val="2"/>
        <charset val="238"/>
        <scheme val="minor"/>
      </rPr>
      <t>(18,84 mil. Kč)</t>
    </r>
  </si>
  <si>
    <r>
      <t xml:space="preserve">splátka - úvěr ČS Benešova byty z r. 2001 </t>
    </r>
    <r>
      <rPr>
        <i/>
        <sz val="11"/>
        <rFont val="Calibri"/>
        <family val="2"/>
        <charset val="238"/>
        <scheme val="minor"/>
      </rPr>
      <t>(16,54 mil.Kč)</t>
    </r>
  </si>
  <si>
    <r>
      <t xml:space="preserve">splátka - úvěr ČS investiční akce z r. 2013 </t>
    </r>
    <r>
      <rPr>
        <i/>
        <sz val="11"/>
        <color indexed="8"/>
        <rFont val="Calibri"/>
        <family val="2"/>
        <charset val="238"/>
        <scheme val="minor"/>
      </rPr>
      <t>(30,6 mil. Kč)</t>
    </r>
  </si>
  <si>
    <t>splátka - úvěru KB - investiční akce z r. 2016 (94 mil. Kč)</t>
  </si>
  <si>
    <t>splátka - úvěru ČS - investiční akce z r. 2017 (150 mil. Kč)</t>
  </si>
  <si>
    <t>dočerpání úvěru KB - investiční akce z r. 2016 (94 mil. Kč)</t>
  </si>
  <si>
    <t xml:space="preserve">nový úvěru ČS - investiční akce z r. 2017 (150 mil. Kč) </t>
  </si>
  <si>
    <t>Platba přenesení daňové povinnosti</t>
  </si>
  <si>
    <t>Převod na termínovaný vklad</t>
  </si>
  <si>
    <t>Příjem - Vládní dluhopisy, Vkladový účet, TV</t>
  </si>
  <si>
    <t>"+" je to co jsme skutečně zapojily</t>
  </si>
  <si>
    <t>FINANCOVÁNÍ CELKEM</t>
  </si>
  <si>
    <t>příjmy celkem</t>
  </si>
  <si>
    <t>provozní výdaje</t>
  </si>
  <si>
    <t>investiční výdaje</t>
  </si>
  <si>
    <t>výdaje celkem</t>
  </si>
  <si>
    <t>saldo příjmů a výdajů</t>
  </si>
  <si>
    <t>financování</t>
  </si>
  <si>
    <t>saldo rozpočtu</t>
  </si>
  <si>
    <t>Zkratka:</t>
  </si>
  <si>
    <t>APK</t>
  </si>
  <si>
    <t>Asistent prevence kriminality</t>
  </si>
  <si>
    <t>CD</t>
  </si>
  <si>
    <t>Cestovní doklad</t>
  </si>
  <si>
    <t>CZT</t>
  </si>
  <si>
    <t>Centrální zdroj tepla</t>
  </si>
  <si>
    <t>ČMHB</t>
  </si>
  <si>
    <t>Českomoravská hypoteční banka</t>
  </si>
  <si>
    <t>ČS</t>
  </si>
  <si>
    <t>Česká spořitelna</t>
  </si>
  <si>
    <t>ČSOB</t>
  </si>
  <si>
    <t>Československá obchodní banka</t>
  </si>
  <si>
    <t>DHM</t>
  </si>
  <si>
    <t>Drobný hmotný majetek (stejný význam jako DrHDM)</t>
  </si>
  <si>
    <t>DOP</t>
  </si>
  <si>
    <t>Doprava</t>
  </si>
  <si>
    <t>DP</t>
  </si>
  <si>
    <t>Daň z příjmu</t>
  </si>
  <si>
    <t>Dan z přidané hodnoty</t>
  </si>
  <si>
    <t>DPP</t>
  </si>
  <si>
    <t>Dohoda o provedení práce</t>
  </si>
  <si>
    <t>DPPO</t>
  </si>
  <si>
    <t>Daň z příjmu právnických osob</t>
  </si>
  <si>
    <t>DPS</t>
  </si>
  <si>
    <t>Dům s pečovatelskou službou</t>
  </si>
  <si>
    <t>DrHDM</t>
  </si>
  <si>
    <t>Drobný hmotný dlouhodobý majetek - do 40 tis. Kč</t>
  </si>
  <si>
    <t>Daň z nemovitosti</t>
  </si>
  <si>
    <t>EKO-PF</t>
  </si>
  <si>
    <t>EKO-PF s.r.o., která nám provádí biologickou likvidaci odpadů – olejů a tuků</t>
  </si>
  <si>
    <t>FA</t>
  </si>
  <si>
    <t>Faktura</t>
  </si>
  <si>
    <t>FO</t>
  </si>
  <si>
    <t>Fyzická osoba</t>
  </si>
  <si>
    <t>FRB</t>
  </si>
  <si>
    <t>Fond rozvoje bydlení</t>
  </si>
  <si>
    <t>FV</t>
  </si>
  <si>
    <t>Finanční vypořádaní</t>
  </si>
  <si>
    <t>GFJ</t>
  </si>
  <si>
    <t>HN</t>
  </si>
  <si>
    <t>Hlavní nádraží</t>
  </si>
  <si>
    <t>IC</t>
  </si>
  <si>
    <t>Informační centrum</t>
  </si>
  <si>
    <t>IOP</t>
  </si>
  <si>
    <t>Integrovaný operační program</t>
  </si>
  <si>
    <t>IROP</t>
  </si>
  <si>
    <t>Integrovaný regionální operační program</t>
  </si>
  <si>
    <t>JP</t>
  </si>
  <si>
    <t>Pana Palacha</t>
  </si>
  <si>
    <t>KB</t>
  </si>
  <si>
    <t>Komerční banka</t>
  </si>
  <si>
    <t>KD</t>
  </si>
  <si>
    <t>Kulturní dům</t>
  </si>
  <si>
    <t>KJN</t>
  </si>
  <si>
    <t>Kostel Jana Nepomuckého</t>
  </si>
  <si>
    <t>KN</t>
  </si>
  <si>
    <t xml:space="preserve">Katastr nemovitostí </t>
  </si>
  <si>
    <t>KS</t>
  </si>
  <si>
    <t>Kamenná Stezka</t>
  </si>
  <si>
    <t>LČR</t>
  </si>
  <si>
    <t>Lesy ČR</t>
  </si>
  <si>
    <t>MK</t>
  </si>
  <si>
    <t>Městská knihovna</t>
  </si>
  <si>
    <t>MKČR</t>
  </si>
  <si>
    <t>Ministerstvo kultury ČR</t>
  </si>
  <si>
    <t>MKDS</t>
  </si>
  <si>
    <t>Městký kamerový a dohlížecí systém</t>
  </si>
  <si>
    <t>MLaR</t>
  </si>
  <si>
    <t>Městské lesy a rybníky s. r. o.</t>
  </si>
  <si>
    <t>MP</t>
  </si>
  <si>
    <t>Městská policie</t>
  </si>
  <si>
    <t>MŠ</t>
  </si>
  <si>
    <t>Mateřská škola</t>
  </si>
  <si>
    <t>MTD</t>
  </si>
  <si>
    <t>Městské Tylovo divadlo</t>
  </si>
  <si>
    <t>NR</t>
  </si>
  <si>
    <t>Návrh rozpočtu</t>
  </si>
  <si>
    <t>OCRM</t>
  </si>
  <si>
    <t>Oddělení cestovního ruchu a marketingu</t>
  </si>
  <si>
    <t>OL</t>
  </si>
  <si>
    <t>Opis listu</t>
  </si>
  <si>
    <t>OON</t>
  </si>
  <si>
    <t>Ostatní osobní náklady</t>
  </si>
  <si>
    <t>OOV</t>
  </si>
  <si>
    <t>Ostatní osobní výdaje</t>
  </si>
  <si>
    <t>OP</t>
  </si>
  <si>
    <t>Občanský průkaz</t>
  </si>
  <si>
    <t>OPZ</t>
  </si>
  <si>
    <t>Operační program Zaměstnanost</t>
  </si>
  <si>
    <t>OSP</t>
  </si>
  <si>
    <t>Odborné sociální poradenství</t>
  </si>
  <si>
    <t>OSVZ</t>
  </si>
  <si>
    <t>Odbor soc. věcí a zdravotnictví</t>
  </si>
  <si>
    <t>OV</t>
  </si>
  <si>
    <t>Osadní výbor</t>
  </si>
  <si>
    <t>OWHC</t>
  </si>
  <si>
    <t>Organizace měst světového dědictví</t>
  </si>
  <si>
    <t>PD</t>
  </si>
  <si>
    <t>Projektová dokumentace</t>
  </si>
  <si>
    <t>PHM</t>
  </si>
  <si>
    <t>PO</t>
  </si>
  <si>
    <t>Příspěvková organizace</t>
  </si>
  <si>
    <t>PrO</t>
  </si>
  <si>
    <t>Právnická osoba</t>
  </si>
  <si>
    <t>PS KH</t>
  </si>
  <si>
    <t>Pečovatelská služba Kutná Hora</t>
  </si>
  <si>
    <t>PSP</t>
  </si>
  <si>
    <t>Poslanecká sněmovna ČR</t>
  </si>
  <si>
    <t>RL</t>
  </si>
  <si>
    <t>Rodný list</t>
  </si>
  <si>
    <t>RT</t>
  </si>
  <si>
    <t>Rejstřík trestů</t>
  </si>
  <si>
    <t>ŘKF</t>
  </si>
  <si>
    <t>Římskokatolická farnost</t>
  </si>
  <si>
    <t>SD</t>
  </si>
  <si>
    <t>SDH</t>
  </si>
  <si>
    <t>Sbor dobrovolných hasičů</t>
  </si>
  <si>
    <t>SFŽP</t>
  </si>
  <si>
    <t>Státní fond životního prostředí</t>
  </si>
  <si>
    <t>SK</t>
  </si>
  <si>
    <t>Skutečnost za rok…</t>
  </si>
  <si>
    <t>SO</t>
  </si>
  <si>
    <t>Správní odbor</t>
  </si>
  <si>
    <t>SP</t>
  </si>
  <si>
    <t>Sociální pojištění</t>
  </si>
  <si>
    <t>SPOD</t>
  </si>
  <si>
    <t>Sociálně právní ochrana dětí</t>
  </si>
  <si>
    <t>SPOZ</t>
  </si>
  <si>
    <t>Sbor pro občanské záležitosti</t>
  </si>
  <si>
    <t>SPR</t>
  </si>
  <si>
    <t>Odbor správní</t>
  </si>
  <si>
    <t>SÚ</t>
  </si>
  <si>
    <t>Stavební úřad</t>
  </si>
  <si>
    <t>ŠJ</t>
  </si>
  <si>
    <t>Školní jídelny</t>
  </si>
  <si>
    <t>TGM</t>
  </si>
  <si>
    <t>T.G.Masaryka</t>
  </si>
  <si>
    <t>TJ</t>
  </si>
  <si>
    <t>Tělovýchovná jednota</t>
  </si>
  <si>
    <t>TP</t>
  </si>
  <si>
    <t>Trvalý příkaz</t>
  </si>
  <si>
    <t>TS</t>
  </si>
  <si>
    <t>Technické služby</t>
  </si>
  <si>
    <t>TZ</t>
  </si>
  <si>
    <t>Technické zhodnocení</t>
  </si>
  <si>
    <t>ÚL</t>
  </si>
  <si>
    <t>Úmrtní list</t>
  </si>
  <si>
    <t>ÚO - VSR</t>
  </si>
  <si>
    <t>Vojenské sdružení rehabilitovaných</t>
  </si>
  <si>
    <t>ÚP</t>
  </si>
  <si>
    <t>Úřad práce</t>
  </si>
  <si>
    <t>UR</t>
  </si>
  <si>
    <t>Upravený rozpočet</t>
  </si>
  <si>
    <t>VHP</t>
  </si>
  <si>
    <t>Výherní hrací přístroj</t>
  </si>
  <si>
    <t>VO</t>
  </si>
  <si>
    <t>Veřejné osvětlení</t>
  </si>
  <si>
    <t>VPS</t>
  </si>
  <si>
    <t>Veřejnoprávní smlouva</t>
  </si>
  <si>
    <t>VŘ</t>
  </si>
  <si>
    <t>Výběrové řízení</t>
  </si>
  <si>
    <t>z.s.</t>
  </si>
  <si>
    <t>Zájmový spolek</t>
  </si>
  <si>
    <t>ZM</t>
  </si>
  <si>
    <t>Zastupitelstvo města</t>
  </si>
  <si>
    <t>ZP</t>
  </si>
  <si>
    <t>Zdravotní pojištění</t>
  </si>
  <si>
    <t>ZS</t>
  </si>
  <si>
    <t>ZSP</t>
  </si>
  <si>
    <t>Záchranná stanice pro psy a opuštěná zvířata</t>
  </si>
  <si>
    <t>ZŠ</t>
  </si>
  <si>
    <t>Základní škola</t>
  </si>
  <si>
    <t>ZUŠ</t>
  </si>
  <si>
    <t>Základní umělecká škola</t>
  </si>
  <si>
    <t>ŽP</t>
  </si>
  <si>
    <t>Životní prostředí</t>
  </si>
  <si>
    <t>ŽÚ</t>
  </si>
  <si>
    <t>Živnostenský úřad</t>
  </si>
  <si>
    <t>Text</t>
  </si>
  <si>
    <t>Daň z příjmů právnických osob</t>
  </si>
  <si>
    <t>Daň z přidané hodnoty</t>
  </si>
  <si>
    <t>Zrušené daně ze zboží a služeb</t>
  </si>
  <si>
    <t>Spotřební daň z lihu</t>
  </si>
  <si>
    <t>Spotřební daň z piva</t>
  </si>
  <si>
    <t>Daň silniční</t>
  </si>
  <si>
    <t>Poplatky za uložení odpadů</t>
  </si>
  <si>
    <t>Poplatek za komunální odpad</t>
  </si>
  <si>
    <t>Poplatek ze vstupného</t>
  </si>
  <si>
    <t>Zrušené místní poplatky</t>
  </si>
  <si>
    <t>Správní poplatky</t>
  </si>
  <si>
    <t>Clo</t>
  </si>
  <si>
    <t>Podíl na clech</t>
  </si>
  <si>
    <t>Daň dědická</t>
  </si>
  <si>
    <t>Daň darovací</t>
  </si>
  <si>
    <t>Přirážky k pojistnému</t>
  </si>
  <si>
    <t>Příslušenství pojistného</t>
  </si>
  <si>
    <t>Tržby z prodeje kolků</t>
  </si>
  <si>
    <t>Příslušenství</t>
  </si>
  <si>
    <t>Podíl na dávkách z cukru</t>
  </si>
  <si>
    <t>Dávky z cukru</t>
  </si>
  <si>
    <t>Příj.z poskyt.služeb a výrobků</t>
  </si>
  <si>
    <t>Příjmy ze školného</t>
  </si>
  <si>
    <t>Mýtné</t>
  </si>
  <si>
    <t>Příjmy z pronájmu pozemků</t>
  </si>
  <si>
    <t>Př.z prod.krát.a drob.dlouh.m.</t>
  </si>
  <si>
    <t>Přijaté neinvestiční dary</t>
  </si>
  <si>
    <t>Přijaté pojistné náhrady</t>
  </si>
  <si>
    <t>Přij.nekapit.příspěvky,náhrady</t>
  </si>
  <si>
    <t>Neidentifikované příjmy</t>
  </si>
  <si>
    <t>Příjmy z prodeje pozemků</t>
  </si>
  <si>
    <t>Příjmy z prodeje akcií</t>
  </si>
  <si>
    <t>Převody z rozpočtových účtů</t>
  </si>
  <si>
    <t>Ostatní platy</t>
  </si>
  <si>
    <t>Odstupné</t>
  </si>
  <si>
    <t>Odbytné</t>
  </si>
  <si>
    <t>Odchodné</t>
  </si>
  <si>
    <t>Mzdové náhrady</t>
  </si>
  <si>
    <t>Potraviny</t>
  </si>
  <si>
    <t>Ochranné pomůcky</t>
  </si>
  <si>
    <t>Knihy, učební pomůcky a tisk</t>
  </si>
  <si>
    <t>Poplatky dluhové služby</t>
  </si>
  <si>
    <t>Studená voda</t>
  </si>
  <si>
    <t>Teplo</t>
  </si>
  <si>
    <t>Plyn</t>
  </si>
  <si>
    <t>Elektrická energie</t>
  </si>
  <si>
    <t>Pevná paliva</t>
  </si>
  <si>
    <t>Pohonné hmoty a maziva</t>
  </si>
  <si>
    <t>Teplá voda</t>
  </si>
  <si>
    <t>Služby peněžních ústavů</t>
  </si>
  <si>
    <t>Nájemné za půdu</t>
  </si>
  <si>
    <t>Služby školení a vzdělávání</t>
  </si>
  <si>
    <t>Nákup ostatních služeb</t>
  </si>
  <si>
    <t>Programové vybavení</t>
  </si>
  <si>
    <t>Výdaje na realizaci záruk</t>
  </si>
  <si>
    <t>Výdaje na vládní úvěry</t>
  </si>
  <si>
    <t>Odvod daně za zaměstnance</t>
  </si>
  <si>
    <t>Neinvestiční transfery obcím</t>
  </si>
  <si>
    <t>Neinvestiční transfery krajům</t>
  </si>
  <si>
    <t>Převody do vlastní pokladny</t>
  </si>
  <si>
    <t>Úhrady sankcí jiným rozpočtům</t>
  </si>
  <si>
    <t>Sociální dávky</t>
  </si>
  <si>
    <t>Náhrady z úrazového pojištění</t>
  </si>
  <si>
    <t>Náhrady mezd v době nemoci</t>
  </si>
  <si>
    <t>Dary obyvatelstvu</t>
  </si>
  <si>
    <t>Ocenitelná práva</t>
  </si>
  <si>
    <t>Dopravní prostředky</t>
  </si>
  <si>
    <t>Nákup akcií</t>
  </si>
  <si>
    <t>Nákup majetkových podílů</t>
  </si>
  <si>
    <t>Rezervy kapitálových výdajů</t>
  </si>
  <si>
    <t>Krátkodobé vydané dluhopisy</t>
  </si>
  <si>
    <t>Dlouhodobé vydané dluhopisy</t>
  </si>
  <si>
    <t>Účelový znak</t>
  </si>
  <si>
    <t>Název</t>
  </si>
  <si>
    <t>protidrogová prevence-kap.05</t>
  </si>
  <si>
    <t>zahraniční spolupráce-kap.05</t>
  </si>
  <si>
    <t>optimalizace škol -kap.05</t>
  </si>
  <si>
    <t>dlouhodobý záměr - kap.05</t>
  </si>
  <si>
    <t>vrcholový sport - kap. 05</t>
  </si>
  <si>
    <t>závazky škol - kap.05</t>
  </si>
  <si>
    <t>granty-kap.05</t>
  </si>
  <si>
    <t>opravy- kap.05</t>
  </si>
  <si>
    <t>investice-kap.05</t>
  </si>
  <si>
    <t>vratky pronájmů -kap.05 provoz</t>
  </si>
  <si>
    <t>vratky pronájmů -kap.05 invest</t>
  </si>
  <si>
    <t>program rozvoje - KA 05</t>
  </si>
  <si>
    <t>spoluúčast kraje na SIPVZ</t>
  </si>
  <si>
    <t>olympiády - kap.05</t>
  </si>
  <si>
    <t>platy hrazené rozp.kraje-k. 05</t>
  </si>
  <si>
    <t>neinvestice u inv.akcí -kap.05</t>
  </si>
  <si>
    <t>faktury přelomu roku-kap.02</t>
  </si>
  <si>
    <t>vrác.příj.z pronáj.,prodej,ná</t>
  </si>
  <si>
    <t>Dotace - přívozy kap.04</t>
  </si>
  <si>
    <t>DPH vyrovnání 2004</t>
  </si>
  <si>
    <t>Odvod inv.fondůSÚS</t>
  </si>
  <si>
    <t>N dotace obcím,hasiči-krajské</t>
  </si>
  <si>
    <t>N dotace obcím, hasiči-státní</t>
  </si>
  <si>
    <t>Sekret. region. rady</t>
  </si>
  <si>
    <t>Mise v EU</t>
  </si>
  <si>
    <t>Mise v EU-provoz kanceláře</t>
  </si>
  <si>
    <t>rezerva SK r.2003,4,5,6,7</t>
  </si>
  <si>
    <t>Fond životního prostředí</t>
  </si>
  <si>
    <t>Havarijní fond pro ochranu vod</t>
  </si>
  <si>
    <t>klub KSČM</t>
  </si>
  <si>
    <t>klub ČSSD</t>
  </si>
  <si>
    <t>klub 4K, Koalice od 11/04</t>
  </si>
  <si>
    <t>klub ODS</t>
  </si>
  <si>
    <t>Fondy kraje</t>
  </si>
  <si>
    <t>Hejtmanské dny</t>
  </si>
  <si>
    <t>Hejtmanský bál</t>
  </si>
  <si>
    <t>hejtmanské dny</t>
  </si>
  <si>
    <t>jednotný vizuál.styl SK+dohody</t>
  </si>
  <si>
    <t>dny pro zdravotnictví</t>
  </si>
  <si>
    <t>středočeský venkov</t>
  </si>
  <si>
    <t>Bezpečně do školy</t>
  </si>
  <si>
    <t>prezentační kampaň SK (SROP)</t>
  </si>
  <si>
    <t>veletrhy a výstavy</t>
  </si>
  <si>
    <t>Králov.průvod Praha-Karlštejn</t>
  </si>
  <si>
    <t>příspěvky sport.klubům- kap.01</t>
  </si>
  <si>
    <t>ČLR</t>
  </si>
  <si>
    <t>propagace Středoč. kraje(SROP)</t>
  </si>
  <si>
    <t>přísp.na obn. porostů  - B</t>
  </si>
  <si>
    <t>sdružování vlastníků lesů - C</t>
  </si>
  <si>
    <t>ekologické technologie - D</t>
  </si>
  <si>
    <t>činnosti myslivec.hospodař.  G</t>
  </si>
  <si>
    <t>lesní hosp. plány - H</t>
  </si>
  <si>
    <t>ostatní hosp. v lesích - I</t>
  </si>
  <si>
    <t>chov a výcvik lovec. psů - K</t>
  </si>
  <si>
    <t>zvýšené náklady dle les. zákon</t>
  </si>
  <si>
    <t>zpracování osnov</t>
  </si>
  <si>
    <t>činnost odborného les. hosp.</t>
  </si>
  <si>
    <t>meliorace a hrazení bystřin</t>
  </si>
  <si>
    <t>dotace obcím - pečovat. služba</t>
  </si>
  <si>
    <t>DD Rožmitál - dotace MPSV</t>
  </si>
  <si>
    <t>DD Zdice - dotace MPSV</t>
  </si>
  <si>
    <t>DD Mn.Hradiště - dotace MPSV</t>
  </si>
  <si>
    <t>Fond investic</t>
  </si>
  <si>
    <t>kraj.pov.dotace byt.fondu obcí</t>
  </si>
  <si>
    <t>Projekt cest.ruchu (veletrhy)</t>
  </si>
  <si>
    <t>Odvod z Inv.Fondu - 04</t>
  </si>
  <si>
    <t>měsíční tranže SÚS</t>
  </si>
  <si>
    <t>provoz systému optim.DO</t>
  </si>
  <si>
    <t>jízdní řády</t>
  </si>
  <si>
    <t>analýza nehod.míst SK</t>
  </si>
  <si>
    <t>koncepce dopravy SK I.část</t>
  </si>
  <si>
    <t>koncepce dopravy SK II. část</t>
  </si>
  <si>
    <t>SÚS -záloha na DPH</t>
  </si>
  <si>
    <t>opravy silnic 2005</t>
  </si>
  <si>
    <t>opravy opěr.,obkl. a zár.zdí</t>
  </si>
  <si>
    <t>opravy silnic -nové technol.</t>
  </si>
  <si>
    <t>Příprava staveb</t>
  </si>
  <si>
    <t>Český Brod - sklad</t>
  </si>
  <si>
    <t>Diagnostika mostů</t>
  </si>
  <si>
    <t>III/2409 Libčice n.V.rekonstr.</t>
  </si>
  <si>
    <t>II/111 Český Šternberk</t>
  </si>
  <si>
    <t>Areál SÚS Kutná Hora</t>
  </si>
  <si>
    <t>CMS Říčany</t>
  </si>
  <si>
    <t>CMS Český Brod</t>
  </si>
  <si>
    <t>opravy silnic zimní ztráty  04</t>
  </si>
  <si>
    <t>povodňová sbírka /r.2002/</t>
  </si>
  <si>
    <t>záloha přísp.na bydl.-povodně</t>
  </si>
  <si>
    <t>povodňová rezerva kraje</t>
  </si>
  <si>
    <t>Dar z veřejné sbírky ČS.a.s.</t>
  </si>
  <si>
    <t>fond kultury</t>
  </si>
  <si>
    <t>fond obnovy památek</t>
  </si>
  <si>
    <t>Regionální funkce knihoven</t>
  </si>
  <si>
    <t>Obnova památek ve vl. SK</t>
  </si>
  <si>
    <t>Podpora českých divadel</t>
  </si>
  <si>
    <t>Projekty SROP kap.06</t>
  </si>
  <si>
    <t>Rozvojové projekty PO kap.06</t>
  </si>
  <si>
    <t>Investiční příspěvky PO kap.06</t>
  </si>
  <si>
    <t>registrace poplatky</t>
  </si>
  <si>
    <t>branci</t>
  </si>
  <si>
    <t>Norské fondy</t>
  </si>
  <si>
    <t>Drogy</t>
  </si>
  <si>
    <t>lékařské knihovny</t>
  </si>
  <si>
    <t>Sociální činnost</t>
  </si>
  <si>
    <t>nemoci z povolání</t>
  </si>
  <si>
    <t>onkologické registry</t>
  </si>
  <si>
    <t>VŘ na ambulantní péči</t>
  </si>
  <si>
    <t>územní znalecké komise</t>
  </si>
  <si>
    <t>kontrolní činnost</t>
  </si>
  <si>
    <t>audity</t>
  </si>
  <si>
    <t>školící činnost</t>
  </si>
  <si>
    <t>infosystém</t>
  </si>
  <si>
    <t>odborníci - stížnosti</t>
  </si>
  <si>
    <t>komise prac.lékařství</t>
  </si>
  <si>
    <t>poradní sbor</t>
  </si>
  <si>
    <t>záchytné stanice</t>
  </si>
  <si>
    <t>Útvar kriz. manag.</t>
  </si>
  <si>
    <t>AT poradny</t>
  </si>
  <si>
    <t>NSP Příbram+ Zdaboř</t>
  </si>
  <si>
    <t>nbáklady na LSPP</t>
  </si>
  <si>
    <t>náklady na provoz zdr.zařízení</t>
  </si>
  <si>
    <t>Tansfer. nákl. na nemocnice</t>
  </si>
  <si>
    <t>Pokuty a penále Odb.zdrav.</t>
  </si>
  <si>
    <t>Benešov a.s. - čin. nehr. ZP</t>
  </si>
  <si>
    <t>ON Kladno a.s.-čin. nehr. ZP</t>
  </si>
  <si>
    <t>ON Kolín a.s. - čin. nehr. ZP</t>
  </si>
  <si>
    <t>ON Ml.Boleslav a.s.-čin.neh.ZP</t>
  </si>
  <si>
    <t>ON Příbram a.s. -čin.nehr. ZP</t>
  </si>
  <si>
    <t>dětská pohotovostní ambul.</t>
  </si>
  <si>
    <t>Zubní pohotovostní ambulance</t>
  </si>
  <si>
    <t>akreditace kontinuálního vzděl</t>
  </si>
  <si>
    <t>Proces akreditace kvality péče</t>
  </si>
  <si>
    <t>ples-příspěvek kap.01</t>
  </si>
  <si>
    <t>Příspěvek na veletrhy a výst.</t>
  </si>
  <si>
    <t>Program obnovy venkova - inv.</t>
  </si>
  <si>
    <t>Program obnovy venkova - neinv</t>
  </si>
  <si>
    <t>Dotace obcím REG</t>
  </si>
  <si>
    <t>Dotace obcím REG - povodně</t>
  </si>
  <si>
    <t>mim. situace- drogy</t>
  </si>
  <si>
    <t>mim. situace- grant OSN</t>
  </si>
  <si>
    <t>mim. situace- Burgunsko-povod.</t>
  </si>
  <si>
    <t>fond na předfin. projektů z EU</t>
  </si>
  <si>
    <t>Údržba areálu Ležáky</t>
  </si>
  <si>
    <t>Podpora koordinátorů romských poradců</t>
  </si>
  <si>
    <t>Neinvestiční transfery obcím - Agentura</t>
  </si>
  <si>
    <t>Evropská charta regionálních či menšinových jazyků</t>
  </si>
  <si>
    <t>Program pro odstraňování havarijních situací v sociálně vyloučených romských lokalitách</t>
  </si>
  <si>
    <t>Evropský rok rovných příležitostí pro všechny</t>
  </si>
  <si>
    <t>Účelové dotace na protidrogovou politiku</t>
  </si>
  <si>
    <t>Podpora terénní sociální práce</t>
  </si>
  <si>
    <t>Komunikační strategie EU</t>
  </si>
  <si>
    <t>Projekty krajů v rozvojových zemích</t>
  </si>
  <si>
    <t>Projekty obcí a měst v rozvojových zemích</t>
  </si>
  <si>
    <t>Záchrana ohrožených druhů mongolské fauny (kůň Převalského) v národním parku Gobi B v kontextu sociálně-ekonomického rozvoje oblasti/Mongolsko</t>
  </si>
  <si>
    <t>Informační kancelář v Kragujevci</t>
  </si>
  <si>
    <t>Péče o válečné hroby - program č. 107 19 - neinvestice</t>
  </si>
  <si>
    <t>Péče o válečné hroby - program č. 107440 - neinvestice</t>
  </si>
  <si>
    <t>Neinvestiční transfery na provoz škol</t>
  </si>
  <si>
    <t>Příspěvky na rozvoj vojenských újezdů (neinvestiční výdaje)</t>
  </si>
  <si>
    <t>Neinvestiční úpravy komunikací podle zákona č. 13/1997 Sb.</t>
  </si>
  <si>
    <t>Péče o válečné veterány</t>
  </si>
  <si>
    <t>Investiční úpravy komunikací podle zákona č. 13/1997 Sb.</t>
  </si>
  <si>
    <t>Péče o válečné hroby - program č. 107440 - investice</t>
  </si>
  <si>
    <t>Investiční dotace školám</t>
  </si>
  <si>
    <t>Příspěvky na rozvoj vojenských újezdů (investiční výdaje)</t>
  </si>
  <si>
    <t>Péče o válečné hroby - program č. 107 19 - investice</t>
  </si>
  <si>
    <t>Pověřené auditní subjekty – RR Střední Čechy – SR</t>
  </si>
  <si>
    <t>Fond na přípravu projektů - FM EHP/Norska</t>
  </si>
  <si>
    <t>Pověřené auditní subjekty – RR Střední Čechy – EU</t>
  </si>
  <si>
    <t>Pověřené auditní subjekty – RR Jihozápad – SR</t>
  </si>
  <si>
    <t>Pověřené auditní subjekty – RR Jihozápad – EU</t>
  </si>
  <si>
    <t>Pověřené auditní subjekty – RR Severozápad – SR</t>
  </si>
  <si>
    <t>Pověřené auditní subjekty – RR Severozápad – EU</t>
  </si>
  <si>
    <t>Pověřené auditní subjekty – RR Severovýchod – SR</t>
  </si>
  <si>
    <t>Pověřené auditní subjekty – RR Severovýchod – EU</t>
  </si>
  <si>
    <t>Pověřené auditní subjekty – RR Jihovýchod – SR</t>
  </si>
  <si>
    <t>Pověřené auditní subjekty – RR Jihovýchod – EU</t>
  </si>
  <si>
    <t>Pověřené auditní subjekty – RR Střední Morava – SR</t>
  </si>
  <si>
    <t>Pověřené auditní subjekty – RR Střední Morava – EU</t>
  </si>
  <si>
    <t>Pověřené auditní subjekty – RR Moravskoslezsko – SR</t>
  </si>
  <si>
    <t>Pověřené auditní subjekty – RR Moravskoslezsko – EU</t>
  </si>
  <si>
    <t>Pověřené auditní subjekty – Hl. m. Praha – SR</t>
  </si>
  <si>
    <t>Pověřené auditní subjekty – Hl. m. Praha – EU</t>
  </si>
  <si>
    <t>Neinvestiční transfery krajům na financování specializovaných odborníků pro výkon inspekcí poskytování sociálních služeb</t>
  </si>
  <si>
    <t>Transfer na krytí pojistného souvisejícího s veřejnou službou podle § 18a zákona č. 111/2006 Sb., o pomoci v hmotné nouzi</t>
  </si>
  <si>
    <t>IOP - služby v oblasti sociální integrace - podprogram č. 113 34B - NIV</t>
  </si>
  <si>
    <t>IOP - služby v oblasti zaměstnanosti - podprogram č. 113 34D - NIV</t>
  </si>
  <si>
    <t>Neinvestiční nedávkové transfery na podporu rodiny</t>
  </si>
  <si>
    <t>Evropský rok boje proti chudobě a sociálnímu vyloučení</t>
  </si>
  <si>
    <t>Příspěvek veřejným rozpočtům územní úrovně dle § 78 zákona č. 435/2004 Sb., o zaměstnanosti</t>
  </si>
  <si>
    <t>Doplatky dávek pomoci v hmotné nouzi, příspěvku na péči a dávek osobám se zdravotním postižením za rok 2011</t>
  </si>
  <si>
    <t>Program švýcarsko-české spolupráce</t>
  </si>
  <si>
    <t>Státní příspěvek na výkon pěstounské péče</t>
  </si>
  <si>
    <t>Dotace v oblasti sociálně-právní ochrany dětí</t>
  </si>
  <si>
    <t>Kompenzace škod způsobených na rybách povodněmi v roce 2013</t>
  </si>
  <si>
    <t>Operační program potravinové a materiální pomoci</t>
  </si>
  <si>
    <t>Aktivní politika zaměstnanosti pro okresní úřady a obce</t>
  </si>
  <si>
    <t>Mezinárodní rok seniorů</t>
  </si>
  <si>
    <t>Jednotný programový dokument JPD 3 - EU</t>
  </si>
  <si>
    <t>Aktivní politika zaměstnanosti – OP RLZ</t>
  </si>
  <si>
    <t>Aktivní politika zaměstnanosti – JPD 3</t>
  </si>
  <si>
    <t>Operační program Lidské zdroje a zaměstnanost</t>
  </si>
  <si>
    <t>Aktivní politika zaměstnanosti – OP LZZ</t>
  </si>
  <si>
    <t>Transfery na příspěvek na péči podle zákona č. 108/2006 Sb., o sociálních službách</t>
  </si>
  <si>
    <t>Mezinárodní spolupráce v sociálním zabezpečení</t>
  </si>
  <si>
    <t>Zabezpečení provozu sociálních služeb obcí - UV č. 402/2002</t>
  </si>
  <si>
    <t>Neinvestiční nedávkové transfery podle zákona č. 108/2006 Sb., o sociálních službách (§ 101, § 102 a § 103)</t>
  </si>
  <si>
    <t>Transfery na dávky pomoci v hmotné nouzi (zákon č. 111/2006 Sb., dávky zdravotně postiženým občanům (vyhláška č. 182/1991 Sb.), příspěvek při péči o blízkou nebo jinou osobu (zákon č. 100/1988 Sb., ve znění č. II zákona č. 109/2006 Sb.)</t>
  </si>
  <si>
    <t>Transfery na státní příspěvek zřizovatelům zařízení pro děti vyžadující okamžitou pomoc</t>
  </si>
  <si>
    <t>Neinvestiční nedávkové transfery na pojistné za pěstouny pro městské části hlavního města Prahy</t>
  </si>
  <si>
    <t>Podpora zavádění komunitního plánování a zavádění standardů kvality v sociálních službách</t>
  </si>
  <si>
    <t>Řešení naléhavých potřeb při zabezpečení provozu sociálních služeb zřízených a provozovaných obcemi</t>
  </si>
  <si>
    <t>Operační program lidských zdrojů</t>
  </si>
  <si>
    <t>Jednotný programový dokument JPD 3 - SR</t>
  </si>
  <si>
    <t>Iniciativa Equal</t>
  </si>
  <si>
    <t>Phare 2003</t>
  </si>
  <si>
    <t>Transfery na financování běžných výdajů poskytovatelům sociálních služeb – dotační řízení MPSV</t>
  </si>
  <si>
    <t>Pořízení a technická obnova investičního majetku ve správě ústavů sociální péče</t>
  </si>
  <si>
    <t>IOP - služby v oblasti sociální integrace - podprogram č. 113 34B - IV</t>
  </si>
  <si>
    <t>IOP - služby v oblasti zaměstnanosti - podprogram č. 113 34D - IV</t>
  </si>
  <si>
    <t>Evropský uprchlický fond - neinvestiční transfery</t>
  </si>
  <si>
    <t>Evropský uprchlický fond – program č. 114060 – neinvestice</t>
  </si>
  <si>
    <t>Zahraniční rozvojová spolupráce – program č. 114060 – neinvestice</t>
  </si>
  <si>
    <t>Neinvestiční transfery krajům podle § 27 zákona č. 133/1985 Sb., o požární ochraně</t>
  </si>
  <si>
    <t>Účelové neinvestiční dotace obcím a krajům na projekty prevence kriminality</t>
  </si>
  <si>
    <t>Zabezpečení provozu kontaktních míst veřejné správy Czech Point</t>
  </si>
  <si>
    <t>Účelové neinvestiční dotace obcím na integraci cizinců</t>
  </si>
  <si>
    <t>Zabezpečení provozu kontaktních míst veřejné správy Czech Point - EU</t>
  </si>
  <si>
    <t>IOP - 2.1 Zavádění ICT v územní veřejné správě - program 114070 - neinvestice</t>
  </si>
  <si>
    <t>Reprodukce majetku jednotek požární ochrany a ochrany obyvatelstva - podprogram č. 114214 - neinvestice</t>
  </si>
  <si>
    <t>Evropský fond pro integraci státních příslušníků třetích zemí</t>
  </si>
  <si>
    <t>Vzdělávání v Egon centrech krajů a obcí s rozšířenou působností - EU</t>
  </si>
  <si>
    <t>Zvýšení kvality řízení v úřadech územní veřejné správy - EU</t>
  </si>
  <si>
    <t>IOP – 3.4. Služby v oblasti bezpečnosti, prevence a řešení rizik – program č. 114070 - neinvestice</t>
  </si>
  <si>
    <t>Pořizování a obnova majetku jednotek požární ochrany obyvatelstva - 114D244 - neinvestice</t>
  </si>
  <si>
    <t>IOP - 3.4 Jednotná úroveň IS operačního řízení a modernizace technologií pro příjem tísňového volání základních složek IZS - program 114071 - neinvestice</t>
  </si>
  <si>
    <t>Podpora prevence kriminality - program č. 114080 - neinvestice</t>
  </si>
  <si>
    <t>Evropský fond pro integraci státních příslušníků třetích zemí – program č. 114060 – neinvestice</t>
  </si>
  <si>
    <t>CIP ICT PSP – podpora informační společnosti</t>
  </si>
  <si>
    <t>Neinvestiční transfery krajům a hl. m. Praze podle usnesení vlády k povodním</t>
  </si>
  <si>
    <t>Asistent prevence kriminality II.</t>
  </si>
  <si>
    <t>Bezpečnostní dobrovolník</t>
  </si>
  <si>
    <t>Program prevence kriminality na místní úrovni – program č. 314080 – neinvestice</t>
  </si>
  <si>
    <t>Příspěvek obcím dle § 84 zákona č. 325/1999 Sb., o azylu</t>
  </si>
  <si>
    <t>Pořízení, obnova a provozování ICT veřejné správy– podprogram č. 214411 – neinvestice</t>
  </si>
  <si>
    <t>Reprodukce majetku jednotek požární ochrany a ochrany obyvatelstva – podprogram č. 214214 – neinvestice</t>
  </si>
  <si>
    <t>Neinvestiční dotace na zajištění bydlení dle § 69 zákona č. 325/1999 Sb., o azylu</t>
  </si>
  <si>
    <t>Internetizace obcí - podprogram č. 314047 - neinvestice</t>
  </si>
  <si>
    <t>Evropský uprchlický fond - program 214010 - neinvestice</t>
  </si>
  <si>
    <t>Zahraniční rozvojová pomoc - program 214010 - neinvestice</t>
  </si>
  <si>
    <t>Reprodukce investičního majetku CO - program č. 314623</t>
  </si>
  <si>
    <t>Výstavba sídel veřejné správy - 2. etapa - podprogram č. 214412</t>
  </si>
  <si>
    <t>Podpora prevence kriminality na regionální úrovni – program č. 214050</t>
  </si>
  <si>
    <t>Pořízení, obnova a provozování ICT veřejné správy– podprogram č. 214411 – investice</t>
  </si>
  <si>
    <t>Reprodukce majetku jednotek požární ochrany a ochrany obyvatelstva – podprogram č. 214214 – investice</t>
  </si>
  <si>
    <t>Internetizace obcí - podprogram č. 314047 - investice</t>
  </si>
  <si>
    <t>Rozvoj a obnova materiálně technické základny uprchlických zařízení - podprogram č. 214042</t>
  </si>
  <si>
    <t>Evropský uprchlický fond - program 214010 - investice</t>
  </si>
  <si>
    <t>Zahraniční rozvojová pomoc - program 214010 - investice</t>
  </si>
  <si>
    <t>Evropský uprchlický fond – program č. 114060 – investice</t>
  </si>
  <si>
    <t>Zahraniční rozvojová spolupráce – program č. 114060 – investice</t>
  </si>
  <si>
    <t>Podpora prevence kriminality - program č. 114050 - investice</t>
  </si>
  <si>
    <t>IOP - 2.1 Zavádění ICT v územní veřejné správě - program 114070 - investice</t>
  </si>
  <si>
    <t>Reprodukce majetku jednotek požární ochrany a ochrany obyvatelstva - podprogram č. 114214 - investice</t>
  </si>
  <si>
    <t>IOP – 3.4. Služby v oblasti bezpečnosti, prevence a řešení rizik – program č. 114070 - investice</t>
  </si>
  <si>
    <t>Zvýšení kvality řízení v úřadech územní veřejné správy - EU - investice</t>
  </si>
  <si>
    <t>Pořizování a obnova majetku jednotek požární ochrany obyvatelstva - 114D244 - investice</t>
  </si>
  <si>
    <t>IOP - 3.4 Jednotná úroveň IS operačního řízení a modernizace technologií pro příjem tísňového volání základních složek IZS - program 114071 - investice</t>
  </si>
  <si>
    <t>Pořizování a obnova majetku jednotek požární ochrany obyvatelstva - podprogram č. 114244 - investice</t>
  </si>
  <si>
    <t>Podpopra prevence kriminality - program č. 114080 - investice</t>
  </si>
  <si>
    <t>Evropský fond pro integraci státních příslušníků třetích zemí – program č. 114060 – investice</t>
  </si>
  <si>
    <t>Revitalizace říčních systémů - program č. 215110 - NIV</t>
  </si>
  <si>
    <t>Podpora obnovy funkcí krajiny - program č. 115 160 - SR - neinvestice</t>
  </si>
  <si>
    <t>Podpora na hydrometeorolo. jevy - ADAPT - program č. 115 180 - SR - neinvestice</t>
  </si>
  <si>
    <t>Monitoring kvality ovzduší - SMOK - program č. 115 190 - SR - neinvestice</t>
  </si>
  <si>
    <t>Projekt Cíl 3 - SR - NIV</t>
  </si>
  <si>
    <t>Likvidace škod pro živelních pohromách - program č. 115 270 - NIV</t>
  </si>
  <si>
    <t>Program česko-švýcarské spolupráce</t>
  </si>
  <si>
    <t>Program švýcarsko-české spolupráce - podprogram č. 115262 Životní prostředí a infrastruktura - NIV</t>
  </si>
  <si>
    <t>Zelená úsporám – budovy veřejného sektoru – program č. 115290 – NIV</t>
  </si>
  <si>
    <t>Účelové neinvestiční dotace zoologickým a botanickým zahradám</t>
  </si>
  <si>
    <t>Program péče o krajinu</t>
  </si>
  <si>
    <t>Program stabilizace lesa v Jizerských horách a na Ještědu</t>
  </si>
  <si>
    <t>Příspěvek na hospodaření v lesích na území národních parků</t>
  </si>
  <si>
    <t>Program péče o zeleň v urbanizovaném prostředí</t>
  </si>
  <si>
    <t>Rozvoj a obnova mat. tech. základny systému řízení Ministerstva životního prostředí - program č. 215010 – neinvestice</t>
  </si>
  <si>
    <t>Podpora prevence v územích ohrožených nepříznivými klimatickými vlivy – program č. 215120 - neinvestice</t>
  </si>
  <si>
    <t>Podpora ochrany životního prostředí a nakládání s odpady program č. 215210 - neinvestice</t>
  </si>
  <si>
    <t>Státní pomoc MŽP při obnově území postiženého povodní – program č. 215810 - neinvestice</t>
  </si>
  <si>
    <t>Úhrada kompenzací za ztráty způsobené obcím na území národních parků</t>
  </si>
  <si>
    <t>Podpora zlepšování VH infrastruktury a snižování rizika povodní – program č. 115 110 – SR – NIV</t>
  </si>
  <si>
    <t>Podpora zlepšování VH infrastruktury a snižování rizika povodní – program č. 115 110 – EU – NIV</t>
  </si>
  <si>
    <t>Podpora zlepšování stavu přírody a krajiny – program č. 115 120 – SR – NIV</t>
  </si>
  <si>
    <t>Podpora zlepšování stavu přírody a krajiny – program č. 115 120 – EU – NIV</t>
  </si>
  <si>
    <t>Podpora rozvoje infrastruktury pro env. vzdělávání, poradenství a osvětu – program č. 115 130 – SR – NIV</t>
  </si>
  <si>
    <t>Podpora rozvoje infrastruktury pro env. vzdělávání, poradenství a osvětu – program č. 115 130 – EU – NIV</t>
  </si>
  <si>
    <t>Technická asistence – program č. 115 150 – SR – NIV</t>
  </si>
  <si>
    <t>Technická asistence – program č. 115 150 – EU – NIV</t>
  </si>
  <si>
    <t>Podpora zlepšování kvality ovzduší a snižování emisí – program č. 115 210 – SR – NIV</t>
  </si>
  <si>
    <t>Podpora zlepšování kvality ovzduší a snižování emisí – program č. 115 210 – EU – NIV</t>
  </si>
  <si>
    <t>Podpora udržitelného využívání zdroje energie – program č. 115 220 – SR – NIV</t>
  </si>
  <si>
    <t>Ostatní neinvestiční dotace obcím a krajům</t>
  </si>
  <si>
    <t>Obnova kvality složek ŽP po povodni 2002 - program č. 215820 - neinvestice</t>
  </si>
  <si>
    <t>Podpora udržitelného využívání zdroje energie – program č. 115 220 – EU – NIV</t>
  </si>
  <si>
    <t>Podpora omezování průmysl.znečišťování – program č. 115 230 – SR – NIV</t>
  </si>
  <si>
    <t>Podpora omezování průmysl.znečišťování – program č. 115 230 – EU – NIV</t>
  </si>
  <si>
    <t>Podpora zkvalitnění nakládání s odpady a odstraňování starých ekolog.zátěží –program č. 115 240 – SR – NIV</t>
  </si>
  <si>
    <t>Podpora zkvalitnění nakládání s odpady a odstraňování starých ekolog.zátěží –program č. 115 240 – EU – NIV</t>
  </si>
  <si>
    <t>Operační program rozvoje lidských zdrojů</t>
  </si>
  <si>
    <t>Informační a komunikační technologie, podprogram č. 215 211 – SR – NIV</t>
  </si>
  <si>
    <t>Informační a komunikační technologie, podprogram č. 215 211 – EU – NIV</t>
  </si>
  <si>
    <t>Projekty dotované ze zahraničí mimo EU, podprogram č. 215 212 – SR – NIV</t>
  </si>
  <si>
    <t>Projekty dotované ze zahraničí mimo EU, podprogram č. 215 212 – EU – NIV</t>
  </si>
  <si>
    <t>Vodohospodářské projekty nad 100 mil. EUR + techn. asistence FS, podprogram č. 215 213 – SR – NIV</t>
  </si>
  <si>
    <t>Vodohospodářské projekty nad 100 mil. EUR + techn. asistence FS, podprogram č. 215 213 – EU – NIV</t>
  </si>
  <si>
    <t>Projekty ochrany životního prostředí EU ostatní mimo SF/FS, podprogram č. 215 214 – SR – NIV</t>
  </si>
  <si>
    <t>Projekty ochrany životního prostředí EU ostatní mimo SF/FS, podprogram č. 215 214 – EU – NIV</t>
  </si>
  <si>
    <t>Ostatní projekty EU nad 100 mil. EUR, podprogram č. 215 215 – SR – NIV</t>
  </si>
  <si>
    <t>Ostatní projekty EU nad 100 mil. EUR, podprogram č. 215 215 – EU – NIV</t>
  </si>
  <si>
    <t>Projekty OP Infrastruktura + techn. asistence, podprogram č. 215 216 – SR – NIV</t>
  </si>
  <si>
    <t>Projekty OP Infrastruktura + techn. asistence, podprogram č. 215 216 – EU – NIV</t>
  </si>
  <si>
    <t>Podpora opatření v oblasti chemických látek a GMO, PHARE, podprogram č. 215 217 – SR – NIV</t>
  </si>
  <si>
    <t>Podpora opatření v oblasti chemických látek a GMO, PHARE, podprogram č. 215 217 – EU – NIV</t>
  </si>
  <si>
    <t>Podpora opatření v oblasti enviromentálního práva a legislativy, podprogram č. 215 218 – SR – NIV</t>
  </si>
  <si>
    <t>Podpora opatření v oblasti enviromentálního práva a legislativy, podprogram č. 215 218 – EU – NIV</t>
  </si>
  <si>
    <t>Komplexní monitoring hydrosféry – Fond soudržnosti, podprogram č. 215 219 – SR – NIV</t>
  </si>
  <si>
    <t>Komplexní monitoring hydrosféry – Fond soudržnosti, podprogram č. 215 219 – EU – NIV</t>
  </si>
  <si>
    <t>Revitalizace říčních systémů - program č. 315050</t>
  </si>
  <si>
    <t>Drobné vodohospodářské ekologické akce - program č. 315060</t>
  </si>
  <si>
    <t>Účelové investiční dotace zoologickým a botanickým zahradám – program č. 315010</t>
  </si>
  <si>
    <t>Účelové investiční dotace obcím na ekologické programy - program č. 315010</t>
  </si>
  <si>
    <t>Revitalizace říčních systémů - program č. 215110</t>
  </si>
  <si>
    <t>Rozvoj a obnova mat. tech. základny systému řízení Ministerstva životního prostředí - program č. 215010 – investice</t>
  </si>
  <si>
    <t>Podpora prevence v územích ohrožených nepříznivými klimatickými vlivy – program č. 215120 - investice</t>
  </si>
  <si>
    <t>Podpora ochrany životního prostředí a nakládání s odpady program č. 215210 - investice</t>
  </si>
  <si>
    <t>Státní pomoc MŽP při obnově území postiženého povodní – program č. 215810 - investice</t>
  </si>
  <si>
    <t>Obnova kvality složek ŽP po povodni 2002 - program č. 215820 - investice</t>
  </si>
  <si>
    <t>Informační a komunikační technologie, podprogram č. 215 211 – SR – IV</t>
  </si>
  <si>
    <t>Informační a komunikační technologie, podprogram č. 215 211 – EU – IV</t>
  </si>
  <si>
    <t>Projekty dotované ze zahraničí mimo EU, podprogram č. 215 212 – SR – IV</t>
  </si>
  <si>
    <t>Projekty dotované ze zahraničí mimo EU, podprogram č. 215 212 – EU – IV</t>
  </si>
  <si>
    <t>Vodohospodářské projekty nad 100 mil. EUR + techn. asistence FS, podprogram č. 215 213 – SR – IV</t>
  </si>
  <si>
    <t>Vodohospodářské projekty nad 100 mil. EUR + techn. asistence FS, podprogram č. 215 213 – EU – IV</t>
  </si>
  <si>
    <t>Projekty ochrany životního prostředí EU ostatní mimo SF/FS, podprogram č. 215 214 – SR – IV</t>
  </si>
  <si>
    <t>Projekty ochrany životního prostředí EU ostatní mimo SF/FS, podprogram č. 215 214 – EU – IV</t>
  </si>
  <si>
    <t>Ostatní projekty EU nad 100 mil. EUR, podprogram č. 215 215 – SR – IV</t>
  </si>
  <si>
    <t>Ostatní projekty EU nad 100 mil. EUR, podprogram č. 215 215 – EU – IV</t>
  </si>
  <si>
    <t>Projekty OP Infrastruktura + techn. asistence, podprogram č. 215 216 – SR – IV</t>
  </si>
  <si>
    <t>Projekty OP Infrastruktura + techn. asistence, podprogram č. 215 216 – EU – IV</t>
  </si>
  <si>
    <t>Podpora opatření v oblasti chemických látek a GMO, PHARE, podprogram č. 215 217 – SR – IV</t>
  </si>
  <si>
    <t>Podpora opatření v oblasti chemických látek a GMO, PHARE, podprogram č. 215 217 – EU – IV</t>
  </si>
  <si>
    <t>Podpora opatření v oblasti enviromentálního práva a legislativy, podprogram č. 215 218 – SR – IV</t>
  </si>
  <si>
    <t>Podpora opatření v oblasti enviromentálního práva a legislativy, podprogram č. 215 218 – EU – IV</t>
  </si>
  <si>
    <t>Komplexní monitoring hydrosféry – Fond soudržnosti, podprogram č. 215 219 – SR – IV</t>
  </si>
  <si>
    <t>Komplexní monitoring hydrosféry – Fond soudržnosti, podprogram č. 215 219 – EU – IV</t>
  </si>
  <si>
    <t>Podpora zlepšování VH infrastruktury a snižování rizika povodní – program č. 115 110 – SR – IV</t>
  </si>
  <si>
    <t>Podpora zlepšování VH infrastruktury a snižování rizika povodní – program č. 115 110 – EU – IV</t>
  </si>
  <si>
    <t>Podpora zlepšování stavu přírody a krajiny – program č. 115 120 – SR – IV</t>
  </si>
  <si>
    <t>Podpora zlepšování stavu přírody a krajiny – program č. 115 120 – EU – IV</t>
  </si>
  <si>
    <t>Podpora rozvoje infrastruktury pro env. vzdělávání, poradenství a osvětu – program č. 115 130 – SR – IV</t>
  </si>
  <si>
    <t>Podpora rozvoje infrastruktury pro env. vzdělávání, poradenství a osvětu – program č. 115 130 – EU – IV</t>
  </si>
  <si>
    <t>Technická asistence – program č. 115 150 – SR – IV</t>
  </si>
  <si>
    <t>Technická asistence – program č. 115 150 – EU – IV</t>
  </si>
  <si>
    <t>Podpora zlepšování kvality ovzduší a snižování emisí – program č. 115 210 – SR – IV</t>
  </si>
  <si>
    <t>Podpora zlepšování kvality ovzduší a snižování emisí – program č. 115 210 – EU – IV</t>
  </si>
  <si>
    <t>Podpora udržitelného využívání zdroje energie – program č. 115 220 – SR – IV</t>
  </si>
  <si>
    <t>Podpora udržitelného využívání zdroje energie – program č. 115 220 – EU – IV</t>
  </si>
  <si>
    <t>Podpora omezování průmysl.znečišťování – program č. 115 230 – SR – IV</t>
  </si>
  <si>
    <t>Podpora omezování průmysl.znečišťování – program č. 115 230 – EU – IV</t>
  </si>
  <si>
    <t>Podpora zkvalitnění nakládání s odpady a odstraňování starých ekolog.zátěží –program č. 115 240 – SR – IV</t>
  </si>
  <si>
    <t>Podpora zkvalitnění nakládání s odpady a odstraňování starých ekolog.zátěží –program č. 115 240 – EU – IV</t>
  </si>
  <si>
    <t>Ostatní investiční dotace obcím a krajům</t>
  </si>
  <si>
    <t>Podpora obnovy funkcí krajiny - program č. 115 160 - SR - investice</t>
  </si>
  <si>
    <t>Podpora na hydrometeorolo. jevy - ADAPT - program č. 115 180 - SR - investice</t>
  </si>
  <si>
    <t>Monitoring kvality ovzduší - SMOK - program č. 115 190 - SR - investice</t>
  </si>
  <si>
    <t>Likvidace škod po živelních pohromách - program č. 115 270 - IV</t>
  </si>
  <si>
    <t>Program švýcarsko-české spolupráce - podprogram č. 115262 Životní prostředí a infrastruktura - IV</t>
  </si>
  <si>
    <t>Zelená úsporám – budovy veřejného sektoru – program č. 115290 – IV</t>
  </si>
  <si>
    <t>Podpora regenerace panelových sídlišť - program č. 217312 - NIV</t>
  </si>
  <si>
    <t>Integrovaný operační program – program č. 117 110 – SR – NIV</t>
  </si>
  <si>
    <t>Integrovaný operační program – program č. 117 110 – EU – NIV</t>
  </si>
  <si>
    <t>Podpora regenerace panelových sídlišť – neinvestiční – program č. 117512</t>
  </si>
  <si>
    <t>Podpora oprav domovních olověných rozvodů – neinvestiční – program č. 117515</t>
  </si>
  <si>
    <t>Přeshraniční spolupráce - Cíl 3 - program č. 117410 - NIV - SR</t>
  </si>
  <si>
    <t>Operační program TA - č. 117310 - SR NIV</t>
  </si>
  <si>
    <t>Operační program TA - č. 117310 - EU - NIV</t>
  </si>
  <si>
    <t>Bezbarierové obce - program č. 117 610 - NIV</t>
  </si>
  <si>
    <t>Podpory při zajišťování dočasného náhradního ubytování a dalších souvisejících potřeb v důsledku povodně či jiné živelní pohromy - podprogram č. 117517 - NIV</t>
  </si>
  <si>
    <t>Finanční pomoc v oblasti bydlení fyzickým osobám postiženým povodní v roce 2009 - neinvestiční</t>
  </si>
  <si>
    <t>Nenávratná finanční pomoc v oblasti bydlení fyzickým osobám nebo obcím postiženým povodněmi v roce 2009 na úhradu nákladů spojených s odstraněním stavby - neinvestiční</t>
  </si>
  <si>
    <t>Podpora regionálního rozvoje - živelní pohromy 2011 - obce - 117D91 - neinvestice</t>
  </si>
  <si>
    <t>IROP – Integrovaný regionální OP – program č. 117030 – SR – NIV</t>
  </si>
  <si>
    <t>IROP – Integrovaný regionální OP – program č. 117030 – EU – NIV</t>
  </si>
  <si>
    <t>OPTP 2014+ - Operační program TP 2014+ - program č. 117040 – SR – NIV</t>
  </si>
  <si>
    <t>OPTP 2014+ - Operační program TP 2014+ - program č. 117040 – EU – NIV</t>
  </si>
  <si>
    <t>Cestování dostupné všem – program č. 117D713 – neinvestice</t>
  </si>
  <si>
    <t>Podpora při zajištění náhradního bydlení občanů postižených povodněmi – program č. 317180</t>
  </si>
  <si>
    <t>Program poskytování státních půjček na opravy bytového fondu - povodně</t>
  </si>
  <si>
    <t>Program podpory výstavby nájemních bytů pro občany postižené záplavami - program č. 317181</t>
  </si>
  <si>
    <t>Finanční pomoc v oblasti bydlení fyzickým osobám postiženým povodní v roce 2010 - NIV</t>
  </si>
  <si>
    <t>Program poskytování státních půjček na opravy bytového fondu</t>
  </si>
  <si>
    <t>Nenávratná finanční pomoc v oblasti bydlení fyzickým osobám nebo obcím postiženým povodněmi v roce 2010 na úhradu nákladů spojených s odstraněním stavby - NIV</t>
  </si>
  <si>
    <t>Podpora revitalizace bývalých vojenských areálů - č. programu 117D814-NIV</t>
  </si>
  <si>
    <t>Podpora obnovy a rozvoje venkova - č. programu 117D815-NIV</t>
  </si>
  <si>
    <t>OP Praha Konkurenceschopnost – program č. 11721B – NIV – EU</t>
  </si>
  <si>
    <t>Program obnovy venkova - běžné výdaje - program č. 317710</t>
  </si>
  <si>
    <t>Obnova venkova - program č. 317710 - kapitálové výdaje</t>
  </si>
  <si>
    <t>Výstavba a technická obnova domů s pečovatelskou službou - program č. 317530</t>
  </si>
  <si>
    <t>Účelové dotace na odstranění vad panelové technologie - program č. 317411</t>
  </si>
  <si>
    <t>Obnova obecního a krajského majetku po živelních pohromách v roce 2012 – 117D91300 – neinvestice</t>
  </si>
  <si>
    <t>Podpora bydlení 2013 – krizový stav – 117D02500 – NIV</t>
  </si>
  <si>
    <t>Podpora bydlení 2013 – 3. stupeň povodňové aktivity – 117D02600 – NIV</t>
  </si>
  <si>
    <t>Obnova obecního a krajského majetku po živelních pohromách v roce 2013 – 117D91400 – NIV</t>
  </si>
  <si>
    <t>Finanční pomoc v oblasti bydlení fyzickým osobám postiženým povodněmi v roce 2013</t>
  </si>
  <si>
    <t>OP Praha Konkurenceschopnost – program č. 11721B – NIV – SR</t>
  </si>
  <si>
    <t>ROP Regionu soudržnosti Střední Čechy – program č. 117 212 – NIV – EU</t>
  </si>
  <si>
    <t>ROP Regionu soudržnosti Jihozápad – program č. 117 213 – NIV – EU</t>
  </si>
  <si>
    <t>ROP Regionu soudržnosti Severozápad – program č. 117 214 – NIV – EU</t>
  </si>
  <si>
    <t>ROP Regionu soudržnosti Jihovýchod – program č. 117 215 – NIV – EU</t>
  </si>
  <si>
    <t>Příspěvky a dotace k hypotečním úvěrům na bytovou výstavbu - program č. 317430</t>
  </si>
  <si>
    <t>ROP Regionu soudržnosti Moravskoslezsko – program č. 117 217 – NIV – EU</t>
  </si>
  <si>
    <t>ROP Regionu soudržnosti Střední Morava – program č. 117 218 – NIV – EU</t>
  </si>
  <si>
    <t>OP Praha Adaptabilita – program č. 11721A – NIV – EU</t>
  </si>
  <si>
    <t>ROP Regionu soudržnosti Severovýchod – program č. 117 216 – NIV – EU</t>
  </si>
  <si>
    <t>Regenerace panelových sídlišť - program č. 317412 - neinvestice</t>
  </si>
  <si>
    <t>Podpora cestovního ruchu - program č. 317320 - neinvestice</t>
  </si>
  <si>
    <t>Podpora regionálního rozvoje - program č. 317620 - nekofinancované neinvestice</t>
  </si>
  <si>
    <t>Podpora regionálního rozvoje - program č. 317620 - kofinancované neinvestice</t>
  </si>
  <si>
    <t>Převod prostředků na kraje - územní plány</t>
  </si>
  <si>
    <t>Nenávratná finanční pomoc v oblasti bydlení fyzickým osobám nebo obcím postiženým povodněmi v roce 2002 na úhradu nákladů spojených s odstraňováním stavby</t>
  </si>
  <si>
    <t>Program finanční podpory obcím postiženým povodněmi v roce 2002 při zajišťování dočasného náhradního ubytování - neinvestiční</t>
  </si>
  <si>
    <t>Program poskytování dotací do povodňových fondů obcí na opravy bytového fondu poškozeného povodněmi v roce 2002 - neinvestiční</t>
  </si>
  <si>
    <t>Program podpory aktualizace územně plánovací dokumentace obcí postižených povodněmi se zaměřením na protipovodňovou ochranu - povodně 2002 - neinvestiční - program č. 217818</t>
  </si>
  <si>
    <t>Poskytování dotací v rámci Programu obnovy venkova - povodně 2002 - neinvestiční - program č. 217816</t>
  </si>
  <si>
    <t>Poskytování dotací v rámci Regionálního programu podpory rozvoje hospodářsky slabých a strukturálně postižených regionů - povodně 2002 - neinvestiční</t>
  </si>
  <si>
    <t>Finanční pomoc v oblasti bydlení fyzickým osobám postiženým povodněmi v roce 2002</t>
  </si>
  <si>
    <t>Podpora obnovy místních komunikací - program č. 217815 - neinvestice</t>
  </si>
  <si>
    <t>Program podpory aktualizace územně plánovací dokumentace obcí postižených povodněmi</t>
  </si>
  <si>
    <t>Podpora regionálního rozvoje - program č. 217110 - NIV</t>
  </si>
  <si>
    <t>Podpora oprav vad panelové výstavby - program č. 217315 - neinvestice</t>
  </si>
  <si>
    <t>Podpora oprav domovních olověných rozvodů - program č. 217316</t>
  </si>
  <si>
    <t>Podpora prezentace České republiky jako destinace cestovního ruchu - program č. 217214 - NIV</t>
  </si>
  <si>
    <t>ROP Regionu soudržnosti Střední Čechy – program č. 117 212 – NIV – SR</t>
  </si>
  <si>
    <t>ROP Regionu soudržnosti Jihozápad – program č. 117 213 – NIV – SR</t>
  </si>
  <si>
    <t>ROP Regionu soudržnosti Severozápad – program č. 117 214 – NIV – SR</t>
  </si>
  <si>
    <t>ROP Regionu soudržnosti Jihovýchod – program č. 117 215 – NIV – SR</t>
  </si>
  <si>
    <t>ROP Regionu soudržnosti Severovýchod – program č. 117 216 – NIV – SR</t>
  </si>
  <si>
    <t>ROP Regionu soudržnosti Moravskoslezsko – program č. 117 217 – NIV – SR</t>
  </si>
  <si>
    <t>ROP Regionu soudržnosti Střední Morava – program č. 117 218 – NIV – SR</t>
  </si>
  <si>
    <t>OP Praha Adaptabilita – program č. 11721A – NIV – SR</t>
  </si>
  <si>
    <t>Výstavba, obnova a provozování infrast. ICT - podprogram č. 217411 - NIV</t>
  </si>
  <si>
    <t>Podpora rekonstrukce bývalých vojenských objektů pro účely nájemního bydlení - podprogram č. 217412 - NIV</t>
  </si>
  <si>
    <t>Aktualizace územně plánovací dokumentace obcí - podprogram č. 217413 - NIV</t>
  </si>
  <si>
    <t>Infrastruktura a rekonstrukce - podprogram č. 217414 - NIV</t>
  </si>
  <si>
    <t>Společný regionální operační program - podprogram č. 21711A - NIV</t>
  </si>
  <si>
    <t>Jednotný programový dokument Praha - Cíl 2 - podprogram č. 21711B - NIV</t>
  </si>
  <si>
    <t>INTERREG III A - podprogram č. 21711C - NIV</t>
  </si>
  <si>
    <t>Výzkum pro potřeby regionů</t>
  </si>
  <si>
    <t>INTERREG III C</t>
  </si>
  <si>
    <t>Phare 2003 II. část - program č. 217510 - neinvestiční</t>
  </si>
  <si>
    <t>INTERREG III B - NIV</t>
  </si>
  <si>
    <t>SROP - společný regionální operační podprogram EU - č. 21711A - NIV</t>
  </si>
  <si>
    <t>JPD - Jednotný program dokumentace Praha Cíl 2 EU - podprogram - č. 21711B - NIV</t>
  </si>
  <si>
    <t>INTEREG III A EU - podprogram č. 21711C - NIV</t>
  </si>
  <si>
    <t>Povodně 2006 – Provozní výdaje na řešení ochrany majetku obcí před povodní – neinvestiční</t>
  </si>
  <si>
    <t>Povodně 2006 – Program finanční podpory obcím postiženým povodněmi v roce 2006 při zajišťování dočasného náhradního ubytování včetně nezbytných souvisejících potřeb – neinvestiční</t>
  </si>
  <si>
    <t>Povodně 2006 - Obnova obecního a krajského majetku postiženého živelní nebo jinou pohromou - neinvestiční</t>
  </si>
  <si>
    <t>SROP - Technická asistence - SR - NIV</t>
  </si>
  <si>
    <t>SROP - Technická asistence - EU - NIV</t>
  </si>
  <si>
    <t>JPD 2 - Technická asistence - EU - NIV</t>
  </si>
  <si>
    <r>
      <t xml:space="preserve">Nenávratná finanční pomoc v oblasti bydlení fyzickým osobám nebo obcím postiženým povodněmi </t>
    </r>
    <r>
      <rPr>
        <sz val="11"/>
        <color indexed="8"/>
        <rFont val="Calibri"/>
        <family val="2"/>
        <charset val="238"/>
      </rPr>
      <t>v roce 2006</t>
    </r>
    <r>
      <rPr>
        <sz val="11"/>
        <color indexed="8"/>
        <rFont val="Calibri"/>
        <family val="2"/>
        <charset val="238"/>
      </rPr>
      <t xml:space="preserve"> na úhradu nákladů spojených s odstraněním stavby - neinvestiční</t>
    </r>
  </si>
  <si>
    <r>
      <t xml:space="preserve">Finanční pomoc v oblasti bydlení fyzickým osobám postiženým povodní </t>
    </r>
    <r>
      <rPr>
        <sz val="11"/>
        <color indexed="8"/>
        <rFont val="Calibri"/>
        <family val="2"/>
        <charset val="238"/>
      </rPr>
      <t>v roce 2006</t>
    </r>
  </si>
  <si>
    <t>Podpora regionálního rozvoje - program č. 317620 - nekofinancované investice</t>
  </si>
  <si>
    <t>Regenerace panelových sídlišť - program č. 317412 - investice</t>
  </si>
  <si>
    <t>Podpora cestovního ruchu - program č. 317320 - investice</t>
  </si>
  <si>
    <t>Podpora regionálního rozvoje - program č. 317620 - kofinancované investice</t>
  </si>
  <si>
    <t>Nenávratná finanční pomoc v oblasti bydlení fyzickým osobám nebo obcím postiženým povodněmi v roce 2002 - investiční</t>
  </si>
  <si>
    <t>Program finanční podpory obcím postižným povodněmi v roce 2002 při zajišťování dočasného náhradního ubytování - investiční</t>
  </si>
  <si>
    <t>Program poskytování dotací do povodňových fondů obcí na opravy bytového fondu poškozeného povodněmi v roce 2002 - investiční</t>
  </si>
  <si>
    <t>Dotace obcím na výstavbu nových nájemních bytů - povodně 2002 - investiční - program č. 217817</t>
  </si>
  <si>
    <t>Poskytování dotací v rámci Regionálního programu podpory rozvoje hospodářsky slabých a strukturálně postižených regionů - povodně 2002 - investiční - program č. 217818</t>
  </si>
  <si>
    <t>Poskytování dotací v rámci Programu obnovy venkova - povodně 2002 - investiční - program č. 217816</t>
  </si>
  <si>
    <t>Státní program podpory cestovního ruchu, podprogram Podpora rozvoje měst a obcí se statutem lázeňského místa - povodně 2002 - investiční</t>
  </si>
  <si>
    <t>Podpora obnovy místních komunikací - program č. 217815 - investice</t>
  </si>
  <si>
    <t>Podpora regionálního rozvoje - program č. 217110 - IV</t>
  </si>
  <si>
    <t>Podpora regenerace panelových sídlišť - program č. 217312</t>
  </si>
  <si>
    <t>Podpora výstavby nájemních bytů a technické infrastruktury - program č. 217313</t>
  </si>
  <si>
    <t>Podpora výstavby podporovaných bytů - program č. 217314</t>
  </si>
  <si>
    <t>Podpora rozvoje lázeňství - program č.217215 - IV</t>
  </si>
  <si>
    <t>Výstavba, obnova a provozování infrast. ICT - podprogram č. 217411 - IV</t>
  </si>
  <si>
    <t>Podpora rekonstrukce bývalých vojenských objektů pro účely nájemního bydlení - podprogram č. 217412 - IV</t>
  </si>
  <si>
    <t>Aktualizace územně plánovací dokumentace obcí - podprogram č. 217413 - IV</t>
  </si>
  <si>
    <t>Infrastruktura a rekonstrukce - podprogram č. 217414 - IV</t>
  </si>
  <si>
    <t>Společný regionální operační program - podprogram č. 21711A - IV</t>
  </si>
  <si>
    <t>Jednotný programový dokument Praha - Cíl 2 - podprogram č. 21711B - IV</t>
  </si>
  <si>
    <t>INTERREG III A - podprogram č. 21711C - IV</t>
  </si>
  <si>
    <t>Program podpory aktualizace územně plánovací dokumentace obcí postižených povodněmi - investice</t>
  </si>
  <si>
    <t>Phare 2003 II. část - program č. 217510 - investiční</t>
  </si>
  <si>
    <t>SROP - společný regionální operační podprogram EU - č. 21711A - IV</t>
  </si>
  <si>
    <t>JPD - Jednotný program dokumentace Praha Cíl 2 EU - podprogram - č. 21711B - IV</t>
  </si>
  <si>
    <t>INTEREG III A EU - podprogram č. 21711C - IV</t>
  </si>
  <si>
    <t>Povodně 2006 – Program finanční podpory obcím postiženým povodněmi v roce 2006 při zajišťování dočasného náhradního ubytování včetně nezbytných souvisejících potřeb – investiční</t>
  </si>
  <si>
    <t>Povodně 2006 - Obnova obecního a krajského majetku postiženého živelní nebo jinou pohromou - investiční</t>
  </si>
  <si>
    <t>SROP - Technická asistence - SR - IV</t>
  </si>
  <si>
    <t>SROP - Technická asistence - EU - IV</t>
  </si>
  <si>
    <r>
      <t xml:space="preserve">Nenávratná finanční pomoc v oblasti bydlení fyzickým osobám nebo obcím postiženým povodněmi </t>
    </r>
    <r>
      <rPr>
        <sz val="11"/>
        <color indexed="8"/>
        <rFont val="Calibri"/>
        <family val="2"/>
        <charset val="238"/>
      </rPr>
      <t>v roce 2006</t>
    </r>
    <r>
      <rPr>
        <sz val="11"/>
        <color indexed="8"/>
        <rFont val="Calibri"/>
        <family val="2"/>
        <charset val="238"/>
      </rPr>
      <t xml:space="preserve"> na úhradu nákladů spojených s odstraněním stavby - investiční</t>
    </r>
  </si>
  <si>
    <t>Podpora budování doprovodné infrastruktury cestovního ruchu pro sportovně rekreační aktivity - program č. 217212 - IV</t>
  </si>
  <si>
    <t>ROP Regionu soudržnosti Střední Čechy – program č. 117 212 – IV – SR</t>
  </si>
  <si>
    <t>ROP Regionu soudržnosti Jihozápad – program č. 117 213 – IV – SR</t>
  </si>
  <si>
    <t>ROP Regionu soudržnosti Severozápad – program č. 117 214 – IV – SR</t>
  </si>
  <si>
    <t>ROP Regionu soudržnosti Jihovýchod – program č. 117 215 – IV – SR</t>
  </si>
  <si>
    <t>ROP Regionu soudržnosti Severovýchod – program č. 117 216 – IV – SR</t>
  </si>
  <si>
    <t>ROP Regionu soudržnosti Moravskoslezsko – program č. 117 217 – IV – SR</t>
  </si>
  <si>
    <t>ROP Regionu soudržnosti Střední Morava – program č. 117 218 – IV – SR</t>
  </si>
  <si>
    <t>OP Praha Adaptabilita – program č. 11721A – IV – SR</t>
  </si>
  <si>
    <t>OP Praha Konkurenceschopnost – program č. 11721B – IV – SR</t>
  </si>
  <si>
    <t>ROP Regionu soudržnosti Střední Čechy – program č. 117 212 – IV – EU</t>
  </si>
  <si>
    <t>ROP Regionu soudržnosti Jihozápad – program č. 117 213 – IV – EU</t>
  </si>
  <si>
    <t>ROP Regionu soudržnosti Severozápad – program č. 117 214 – IV – EU</t>
  </si>
  <si>
    <t>ROP Regionu soudržnosti Jihovýchod – program č. 117 215 – IV – EU</t>
  </si>
  <si>
    <t>ROP Regionu soudržnosti Severovýchod – program č. 117 216 – IV – EU</t>
  </si>
  <si>
    <t>ROP Regionu soudržnosti Moravskoslezsko – program č. 117 217 – IV – EU</t>
  </si>
  <si>
    <t>ROP Regionu soudržnosti Střední Morava – program č. 117 218 – IV – EU</t>
  </si>
  <si>
    <t>OP Praha Adaptabilita – program č. 11721A – IV – EU</t>
  </si>
  <si>
    <t>OP Praha Konkurenceschopnost – program č. 11721B – IV – EU</t>
  </si>
  <si>
    <t>Integrovaný operační program – program č. 117 110 – SR – IV</t>
  </si>
  <si>
    <t>Integrovaný operační program – program č. 117 110 – EU – IV</t>
  </si>
  <si>
    <t>Podpora regenerace panelových sídlišť – investiční – program č. 117512</t>
  </si>
  <si>
    <t>Podpora výstavby technické infrastruktury – investiční – program č. 117513</t>
  </si>
  <si>
    <t>Podpora výstavby podporovaných bytů – investiční – program č. 117514</t>
  </si>
  <si>
    <t>Přeshraniční spolupráce - Cíl 3 - program č. 117410 - IV - SR</t>
  </si>
  <si>
    <t>Bezbarierové obce - program č. 117 610 - IV</t>
  </si>
  <si>
    <t>Podpory při zajišťování dočasného náhradního ubytování a dalších souvisejících potřeb v důsledku povodně či jiné živelní pohromy - podprogram č. 117517 - IV</t>
  </si>
  <si>
    <t>Nenávratná finanční pomoc v oblasti bydlení fyzickým osobám nebo obcím postiženým povodněmi v roce 2009 na úhradu nákladů spojených s odstraněním stavby - investiční</t>
  </si>
  <si>
    <t>Podpora výstavby obecních nájemních bytů pro občany postižené živelní pohromou</t>
  </si>
  <si>
    <t>Nenávratná finanční pomoc v oblasti bydlení fyzickým osobám nebo obcím postiženým povodněmi v roce 2010 na úhradu nákladů spojených s odstraněním stavby - IV</t>
  </si>
  <si>
    <t>Podpora revitalizace bývalých vojenských areálů - č. programu 117D814-IV</t>
  </si>
  <si>
    <t>Podpora obnovy a rozvoje venkova - č. programu 117D815-IV</t>
  </si>
  <si>
    <t>Podpora regionálního rozvoje - živelní pohromy 2011 - obce - 117D91 - investice</t>
  </si>
  <si>
    <t>Obnova obecního a krajského majetku po živelních pohromách v roce 2012 – 117D91300 – investice</t>
  </si>
  <si>
    <t>Podpora bydlení 2013 – krizový stav – 117D02500 – IV</t>
  </si>
  <si>
    <t>Podpora bydlení 2013 – 3. stupeň povodňové aktivity – 117D02600 – IV</t>
  </si>
  <si>
    <t>Obnova obecního a krajského majetku po živelních pohromách v roce 2013 – 117D91400 – IV</t>
  </si>
  <si>
    <t>Podpora pracovních příležitostí – obce – 117D816 – investice</t>
  </si>
  <si>
    <t>IROP – Integrovaný regionální OP – program č. 117030 – SR – INV</t>
  </si>
  <si>
    <t>IROP – Integrovaný regionální OP – program č. 117030 – EU – INV</t>
  </si>
  <si>
    <t>Operační program podnikání a inovace - NIV - program ISPROFIN č. 122 120</t>
  </si>
  <si>
    <t>Operační program podnikání a inovace - NIV - mimo program ISPROFIN č. 122 120</t>
  </si>
  <si>
    <t>Neinvestiční dotace – program č. 122140 – EFEKT – podpora úspor energie</t>
  </si>
  <si>
    <t>Neinvestiční dotace – mimo program č. 122140 – EFEKT – podpora úspor energie</t>
  </si>
  <si>
    <t>Dotace na výkon činnosti Jednotných kontaktních míst</t>
  </si>
  <si>
    <t>Neinvestiční ekologické dotace z výnosů za vydobyté nerosty</t>
  </si>
  <si>
    <t>Operační program Podnikání a inovace pro konkurenceschopnosti – NIV</t>
  </si>
  <si>
    <t>Neinvestiční dotace na úsporná energetická opatření - program č. 222040</t>
  </si>
  <si>
    <t>Investiční dotace na úsporná energetická opatření - program č. 222040</t>
  </si>
  <si>
    <t>Státní pomoc při obnově území postižených povodní 2002 poskytovaná MPO - program č. 222810 - NIV</t>
  </si>
  <si>
    <t>Operační program průmysl a podnikání - NIV - program ISPROFIN č. 222 210 - Prosperita, Reality</t>
  </si>
  <si>
    <t>Operační program průmysl a podnikání - NIV - mimo program ISPROFIN č. 222 210 - Klastry</t>
  </si>
  <si>
    <t>Neinvestiční dotace na úsporná energetická opatření - mimo program č. 222040</t>
  </si>
  <si>
    <t>Podpora pořízení nemovitostí pro podnikání a vědu a výzkum - program č. 222 230 - NIV</t>
  </si>
  <si>
    <t>Dotace pro obce s rozšířenou působností a městské části hl. m. Prahy na podporu informačních technologií využívaných pro IS RŽP</t>
  </si>
  <si>
    <t>Výstavba a technická obnova inženýrských sítí průmyslových zón - program č. 322050</t>
  </si>
  <si>
    <t>Státní pomoc při obnově území postižených povodní 2002 poskytovaná MPO - program č. 222810 - IV</t>
  </si>
  <si>
    <t>Operační program průmysl a podnikání - IV - program ISPROFIN č. 222 210 - Prosperita, Reality</t>
  </si>
  <si>
    <t>Operační progarm průmysl a podnikání - IV - mimo program ISPROFIN č. 222 210 - Klastry</t>
  </si>
  <si>
    <t>Podpora pořízení nemovitostí pro podnikání a vědu a výzkum - program č. 222 230 - IV</t>
  </si>
  <si>
    <t>Operační program podnikání a inovace - IV - program ISPROFIN č. 122 120</t>
  </si>
  <si>
    <t>Operační program podnikání a inovace - IV - mimo program ISPROFIN č. 122 120</t>
  </si>
  <si>
    <t>Investiční dotace – program č. 122140 – EFEKT – podpora úspor energie</t>
  </si>
  <si>
    <t>Operační program Podnikání a inovace pro konkurenceschopnosti – IV</t>
  </si>
  <si>
    <t>Čekání řidičů mezi spoji veřejné linkové autobusové dopravy</t>
  </si>
  <si>
    <t>Program zvyšování efektivity a bezpečnosti silničního provozu</t>
  </si>
  <si>
    <t>Zajištění kompatibility agend Centrálního registru vozidel</t>
  </si>
  <si>
    <t>Náklady na stěhování GSA</t>
  </si>
  <si>
    <t>Účelové dotace na opravy a údržbu silniční sítě ve správě obcí</t>
  </si>
  <si>
    <t>Výstavba a technická obnova silniční sítě statutárních měst Praha, Brno, Ostrava, Plzeň - program č. 327150</t>
  </si>
  <si>
    <t>Cyklistické stezky</t>
  </si>
  <si>
    <t>Regionální dopravní obslužnost (silniční doprava) - žákovské jízdné</t>
  </si>
  <si>
    <t>Neinvestiční dotace - projekt Internet pro všední den</t>
  </si>
  <si>
    <t>Výstavba a obnova místních komunikací - program č. 327170</t>
  </si>
  <si>
    <t>Operační program Infrastruktura</t>
  </si>
  <si>
    <t>Podpora výstavby a obnovy silnic II. a III. třídy - program č. 227110 - neinvestice</t>
  </si>
  <si>
    <t>Příspěvek na ztrátu dopravce z provozu veřejné osobní drážní dopravy</t>
  </si>
  <si>
    <t>Projekt CONNECT - NIV</t>
  </si>
  <si>
    <t>Výstavba a obnova silnic III. třídy - program č. 327140</t>
  </si>
  <si>
    <t>Reprodukce investičního majetku organizací správy a údržby silnic - program č. 327020</t>
  </si>
  <si>
    <t>Podpora výstavby a obnovy silnic II. a III. třídy - program č. 227110 - investice</t>
  </si>
  <si>
    <t>Podpora obnovy vozidel regionální a městské hromadné dopravy - program č. 227620</t>
  </si>
  <si>
    <t>Projekt CONNECT - IV</t>
  </si>
  <si>
    <t>Úspory energie a využití alternativních paliv v resortu dopravy - program č. 227030 - IV</t>
  </si>
  <si>
    <t>Podpora pořízení a obnovy železničních kolejových vozidel v regionální osobní dopravě - program č. 227 610 - IV</t>
  </si>
  <si>
    <t>Systém řízení a regulace městského silničního provozu v hl. m. Praze - program č. 127420 - EU - IV</t>
  </si>
  <si>
    <t>Program obnovy vozidel veřejné autobusové dopravy - program č. 127620</t>
  </si>
  <si>
    <t>Účelové dotace na pořízení a technické zhodnocení silniční sítě ve správě obcí.</t>
  </si>
  <si>
    <t>Náhrada újmy podle § 11 odst. 3 lesního zákona</t>
  </si>
  <si>
    <t>Náhrada újmy podle § 29 odst. 4 lesního zákona</t>
  </si>
  <si>
    <t>Náhrada újmy podle § 35 odst. 4 lesního zákona</t>
  </si>
  <si>
    <t>Úhrada zvýšených nákladů podle § 24 odst. 2 lesního zákona</t>
  </si>
  <si>
    <t>Úhrada nákladů na zpracování osnov podle § 26 odst. 2 lesního zákona</t>
  </si>
  <si>
    <t>Ochrana lesa ve veřejném zájmu podle § 32 odst. 3 lesního zákona</t>
  </si>
  <si>
    <t>Náhrada zvýšených nákladů podle § 36 odst. 3 a 4 lesního zákona</t>
  </si>
  <si>
    <t>Náklady na činnost odborného lesního hospodáře podle § 37 odst. 6 a 7 lesního zákona</t>
  </si>
  <si>
    <t>Meliorace a hrazení bystřin v lesích podle § 35 odst. 1 a 3 lesního zákona</t>
  </si>
  <si>
    <t>Vodní hospodářství</t>
  </si>
  <si>
    <t>Agrokomplex – podpory podle nařízení vlády</t>
  </si>
  <si>
    <t>Účelové dotace na restrukturalizace rostlinné výroby - zalesnění</t>
  </si>
  <si>
    <t>Příspěvek na obnovu lesů poškozených imisemi, podle písm. A pravidel</t>
  </si>
  <si>
    <t>Příspěvek na obnovu, zajištění a výchovu porostů, podle písm. B pravidel</t>
  </si>
  <si>
    <t>Příspěvek na ekologické a k přírodě šetrné technologie, podle písm. D pravidel</t>
  </si>
  <si>
    <t>Příspěvek na zajištění mimoprodukčních funkcí lesa, podle písm. E pravidel</t>
  </si>
  <si>
    <t>Příspěvek na vyhotovení lesních hospodářských plánů v digitální formě, podle písm. H pravidel</t>
  </si>
  <si>
    <t>Příspěvek na ostatní hospodaření v lesích, podle písm. I pravidel</t>
  </si>
  <si>
    <t>Podpora prevence před povodněmi II. - program č. 129120 -NIV</t>
  </si>
  <si>
    <t>Podpora obnovy, odbahnění a rekonstrukce rybníků a výstavby VN - program č. 129130 - NIV</t>
  </si>
  <si>
    <t>Výstavba a obnova infrastruktury vodovodů a kanalizací - úrokové dotace - neinvestice</t>
  </si>
  <si>
    <t>Příspěvek na hrazení bystřin, podle písm. F pravidel</t>
  </si>
  <si>
    <t>Příspěvek na podporu ohrožených druhů zvířat, podle písm. G pravidel</t>
  </si>
  <si>
    <t>Majetková újma podle zákona č. 147/1996 Sb.</t>
  </si>
  <si>
    <t>Příspěvek na programy spolufinancování s fondy EU podle písmena J pravidel</t>
  </si>
  <si>
    <t>Opatření 1.3.1 Obnova lesního potenciálu poškozeného kalamitami - OP EU - neinvestiční</t>
  </si>
  <si>
    <t>Opatření 2.1.4 LEADER - OP EU - neinvestiční</t>
  </si>
  <si>
    <t>Příspěvek na chov a výcvik národních plemen loveckých psů a loveckých dravců podle písmena K Pravidel</t>
  </si>
  <si>
    <t>Agrokomplex – podpůrné programy APK - NIV</t>
  </si>
  <si>
    <t>Program LEADER ČR č.229222 - NIV</t>
  </si>
  <si>
    <t>Opatření 1.3.1 Obnova lesního potenciálu poškozeného kalamitami - OP - nevestice</t>
  </si>
  <si>
    <t>Opatření 2.1.4 - LEADER - OP - neinvestice</t>
  </si>
  <si>
    <t>Evidence zemědělských podnikatelů</t>
  </si>
  <si>
    <t>Výstavba a technická obnova vodovodů a úpraven vod - program č. 329030</t>
  </si>
  <si>
    <t>Výstavba a technická obnova kanalizací a čistíren odpadních vod - program č. 329040</t>
  </si>
  <si>
    <t>Výstavba a technická obnova zemědělství</t>
  </si>
  <si>
    <t>Odstranění škod způsobených povodní 1997 - MZe - program č. 329180</t>
  </si>
  <si>
    <t>Úhrada investičních nákladů na zpracování osnov podle § 26 odst. 2 lesního zákona</t>
  </si>
  <si>
    <t>Meliorace a hrazení bystřin v lesích podle § 35 odst. 1 a 3 lesního zákona (investice)</t>
  </si>
  <si>
    <t>Investiční příspěvek na zajištění mimoprodukčních funkcí lesa podle písm. E pravidel</t>
  </si>
  <si>
    <t>Investiční příspěvek na vyhotovení lesních hospodářských plánů v digitální formě podle písm. H pravidel - program č. 329052</t>
  </si>
  <si>
    <t>Investiční příspěvek na ostatní hospodaření v lesích, podle písm. I pravidel</t>
  </si>
  <si>
    <t>Investiční příspěvek na hrazení bystřin, podle písm. F pravidel</t>
  </si>
  <si>
    <t>Odstranění škod způsobených povodní 1998 – MZe – program č. 329190</t>
  </si>
  <si>
    <t>Protipovodňová opatření - program č. 229060</t>
  </si>
  <si>
    <t>Investiční příspěvek na programy spolufinancování s fondy EU podle písmena J pravidel</t>
  </si>
  <si>
    <t>Výstavba a technická obnova vodovodů a úpraven vod – program č. 229 030 (stavby zahajované v r. 2002 a dále)</t>
  </si>
  <si>
    <t>Výstavba a technická obnova a čistíren odpadních vod – program č. 229 040 (stavby zahajované v r. 2002 a dále)</t>
  </si>
  <si>
    <t>Státní pomoc při obnově území postiženého povodní v r. 2002 poskytovaná MZe (VH) – program č. 229810</t>
  </si>
  <si>
    <t>Agrokomplex – podpůrné programy APK – IV</t>
  </si>
  <si>
    <t>Program LEADER ČR č.229222 - IV</t>
  </si>
  <si>
    <t>Opatření 1.3.1 Obnova lesního potenciálu poškozeného kalamitami - OP - investice</t>
  </si>
  <si>
    <t>Opatření 2.1.4 - LEADER - OP - investice</t>
  </si>
  <si>
    <t>Výstavba a obnova infrastruktury vodovodů a kanalizací - podprogram č. 229312</t>
  </si>
  <si>
    <t>Výstavba a obnova infrastruktury vodovodů a kanalizací - podprogram č. 229313</t>
  </si>
  <si>
    <t>Podpora odstraňování povodňových škod z roku 2006 na infrastruktuře vodovodů v rámci programu č. 229030</t>
  </si>
  <si>
    <t>Podpora odstraňování povodňových škod z roku 2006 na infrastruktuře kanalizací v rámci programu č. 229040</t>
  </si>
  <si>
    <t>Opatření 1.3.1 Obnova lesního potenciálu poškozeného kalamitami - OP EU - investiční</t>
  </si>
  <si>
    <t>Opatření 2.1.4 LEADER - OP EU - investiční</t>
  </si>
  <si>
    <t>Podpora prevence před povodněmi II. - program č. 129120 - IV</t>
  </si>
  <si>
    <t>Podpora obnovy, odbahnění a rekonstrukce rybníků a výstavby VN - program č. 129130 - IV</t>
  </si>
  <si>
    <t>Podpora procesu plánování v oblasti vod - program č. 129150 - IV</t>
  </si>
  <si>
    <t>Výstavba a obnova infrastruktury vodovodů II -podprogram č. 129 182</t>
  </si>
  <si>
    <t>Výstavba a obnova infrastruktury kanalizací II - podprogram č. 129 183</t>
  </si>
  <si>
    <t>Podpora odstraňování povodňových škod způsobených povodněmi 2009 - podprogram č. 129 142 - IV</t>
  </si>
  <si>
    <t>Odstraňování povodňových škod na infrastruktuře VaK - program č. 129 140 - vodovody</t>
  </si>
  <si>
    <t>Odstraňování povodňových škod na infrastruktuře VaK - program č. 129 140 - kanalizace</t>
  </si>
  <si>
    <t>Podpora výstavby a technického zhodnocení vodovodů pro veřejnou potřebu – podprogram č. 129 252</t>
  </si>
  <si>
    <t>Podpora výstavby a technického zhodnocení kanalizací pro veřejnou potřebu – podprogram č. 129 253</t>
  </si>
  <si>
    <t>Podpora odstraňování povodňových škod způsobených povodněmi 2013 – podprogram č. 129D144 – IV</t>
  </si>
  <si>
    <t>Rozvojový program EVVO pro školy</t>
  </si>
  <si>
    <t>Výuka cizích jazyků</t>
  </si>
  <si>
    <t>Čtenářská gramotnost</t>
  </si>
  <si>
    <t>Počítačová gramotnost</t>
  </si>
  <si>
    <t>Zvýšení nenárokových složek platů pedagogických pracovníků regionálního školství s ohledem na kvalitu jejich práce</t>
  </si>
  <si>
    <t>Globální grant OP VK v oblasti počátečního vzdělávání</t>
  </si>
  <si>
    <t>Technická pomoc OP VK</t>
  </si>
  <si>
    <t>Financování dělených hodin pilotním gymnáziím zapojeným do projektu Pilot G Tvorba a ověřování pilotních ŠVP ve vybraných gymnáziích v měsících říjen – prosinec 2008</t>
  </si>
  <si>
    <t>Podpora čtenářství na základních školách v roce 2008</t>
  </si>
  <si>
    <t>Financování Středisek integrace menšin ve vybraných lokalitách v ČR v měsících listopad až prosinec 2008</t>
  </si>
  <si>
    <t>Financování školních poradenských pracovišť na vybraných školách ve 13 krajích ČR v měsících říjen až prosinec 2008</t>
  </si>
  <si>
    <t>Globální grant OP VK v oblasti dalšího vzdělávání - neinvestice</t>
  </si>
  <si>
    <t>Pokusné ověřování ŠVP u vybraných ZŠ speciálních</t>
  </si>
  <si>
    <t>Evropa mladýma očima</t>
  </si>
  <si>
    <t>Hustota a specifika</t>
  </si>
  <si>
    <t>Posílení úrovně odměňování nepedagogických pracovníků</t>
  </si>
  <si>
    <t>Školní potřeby pro žáky 1. ročníku základního vzdělávání</t>
  </si>
  <si>
    <t>Rozvojový program na podporu škol, které realizují inkluzivní vzdělávání a vzdělávání dětí se sociokulturním znevýhodněním</t>
  </si>
  <si>
    <t>Individuální projekt ostatní OP VK - neinvestice - EU</t>
  </si>
  <si>
    <t>Program na zmírnění škod způsobených povodněmi v roce 2009</t>
  </si>
  <si>
    <t>Zkvalitnění vzdělávání na základních školách na území hlaního města Prahy</t>
  </si>
  <si>
    <t>Evropský rok dobrovolnictví</t>
  </si>
  <si>
    <t>Informační centra</t>
  </si>
  <si>
    <t>Rozvojový program MŠMT pro děti-cizince ze 3. zemí</t>
  </si>
  <si>
    <t>Vybavení škol pomůckami kompenzačního a rehabilitačního charakteru</t>
  </si>
  <si>
    <t>Pokusné ověřování maturitní zkoušky v roce 2010</t>
  </si>
  <si>
    <t>Posílení platové úrovně pedagogických pracovníků s vysokoškolským vzděláním, kteří splňují odbornou kvalifikaci podle zákona č. 563/2004</t>
  </si>
  <si>
    <t>Studium krajanů na středních školách v ČR</t>
  </si>
  <si>
    <t>Výběrové řízení na Gymnáziu v Děčíně - výběr studentů na Gymnáziu v Pirně</t>
  </si>
  <si>
    <t>Počáteční vzdělávání v globálních grantech OP VK - neinvestice - EU</t>
  </si>
  <si>
    <t>OP VK - oblast 1.5. EU peníze středním školám</t>
  </si>
  <si>
    <t>Částečná kompenzace výdajů vzniklých při realizaci společné matruitní zkoušky</t>
  </si>
  <si>
    <t>Pirna - česko - saský dvojjazyčný vzdělávací cyklus</t>
  </si>
  <si>
    <t>Podpora organizace a ukončování středního vzdělávání maturitní zkouškou na vybraných školách v podzimním zkušebním období</t>
  </si>
  <si>
    <t>Dotace dvojjazyčným gymnáziím s výukou francouštiny</t>
  </si>
  <si>
    <t>Pokusné ověřování integrativního a inkluzivního modelu škol</t>
  </si>
  <si>
    <t>OP Výzkum a vývoj pro Inovace - Prioritní osa 3 - neinvestice</t>
  </si>
  <si>
    <t>Excelence středních škol</t>
  </si>
  <si>
    <t>Podpora regionálního školství Libereckého kraje v důsledku mimořádné koncentrace sklářských oborů</t>
  </si>
  <si>
    <t>Podpora zavádění diagnostických nástrojů</t>
  </si>
  <si>
    <t>Podpora tvorby malonákladových učebnic a učebních materiálů</t>
  </si>
  <si>
    <t>Podpora dalšího vzdělávání učitelů odborných předmětů v prostředí reálné praxe</t>
  </si>
  <si>
    <t>Podpora implementace Etické výchovy</t>
  </si>
  <si>
    <t>Rozvojový program Podpora logopedické prevence v předškolním vzdělávání</t>
  </si>
  <si>
    <t>Metodická podpora spolupráce obcí při zřizování škol a školských zařízení v právní formě školské právnické osoby</t>
  </si>
  <si>
    <t>Program na zmírnění škod způsobených povodněmi v červnu 2013</t>
  </si>
  <si>
    <t>Další cizí jazyk</t>
  </si>
  <si>
    <t>Sympozium uměleckoprůmyslových škol</t>
  </si>
  <si>
    <t>Podpora odborného vzdělávání</t>
  </si>
  <si>
    <t>Rozvojový program na podporu školních psychologů, speciálních pedagogů a metodiků - specialistů</t>
  </si>
  <si>
    <t>Rozvojový program Zvýšení platů pedagogických pracovníků RgŠ.</t>
  </si>
  <si>
    <t>Zvýšení platů pracovníků regionálního školství</t>
  </si>
  <si>
    <t>Rozvoj výukových kapacit MŠ a ZŠ zřizovaných ÚSC – NIV</t>
  </si>
  <si>
    <t>Mistrovství světa silničních motocyklů Grand Prix České republiky</t>
  </si>
  <si>
    <t>Podpora nadaných žáků základních a středních škol</t>
  </si>
  <si>
    <t>Učebnice a laboratorní sady v programu CTY online</t>
  </si>
  <si>
    <t>Podpora polytechnické výchovy v mateřských školách a základních školách</t>
  </si>
  <si>
    <t>OP VK – šablony ZŠ a SŠ v oblasti podpory 1.1</t>
  </si>
  <si>
    <t>Zvýšení platů pracovníků soukromého a církevního školství</t>
  </si>
  <si>
    <t>Zabezpečení škol a školských zařízení</t>
  </si>
  <si>
    <t>Zvýšení odměňování pracovníků regionálního školství v roce 2015</t>
  </si>
  <si>
    <t>OP VVV – PO2 neinvestice</t>
  </si>
  <si>
    <t>OP VVV – PO3 neinvestice</t>
  </si>
  <si>
    <t>Program sociální prevence a prevence kriminality</t>
  </si>
  <si>
    <t>OP VK - oblast 1.4. EU peníze školám - EU</t>
  </si>
  <si>
    <t>Neinvestiční dotace pro školu Neveklov</t>
  </si>
  <si>
    <t>Provozní náklady - kraje</t>
  </si>
  <si>
    <t>Dotace pro soukromé školy</t>
  </si>
  <si>
    <t>Projekty romské komunity</t>
  </si>
  <si>
    <t>Program protidrogové politiky</t>
  </si>
  <si>
    <t>Soutěže</t>
  </si>
  <si>
    <t>Spolupráce s francouzskými, vlámskými a španělskými školami</t>
  </si>
  <si>
    <t>Podpora výuky méně vyučovaných cizích jazyků</t>
  </si>
  <si>
    <t>Asistenti pedagogů v soukromých a církevních speciálních školách</t>
  </si>
  <si>
    <t>Státní informační politika - neinvestice</t>
  </si>
  <si>
    <t>Integrace cizinců</t>
  </si>
  <si>
    <t>Evropská jazyková cena</t>
  </si>
  <si>
    <t>Povodně 2002</t>
  </si>
  <si>
    <t>Volnočasové aktivity – neinvestice - místní nestátní neziskové organizace</t>
  </si>
  <si>
    <t>Výstavba a obnova budov a staveb základních škol - program č. 333110 - neinvestice</t>
  </si>
  <si>
    <t>Výstavba a obnova budov a staveb středních škol - program č. 333210 - neinvestice</t>
  </si>
  <si>
    <t>Program podpory vzdělávání národnostních menšin</t>
  </si>
  <si>
    <t>Účelové neinvestiční dotace obcím a krajům na nákup učebních pomůcek</t>
  </si>
  <si>
    <t>Přímé náklady na vzdělávání</t>
  </si>
  <si>
    <t>Přímé náklady na vzdělávání - sportovní gymnázia</t>
  </si>
  <si>
    <t>Grantové schéma pro opatření 3.1 OP RLZ</t>
  </si>
  <si>
    <t>Tvorba a ověřování pilotních ŠVP ve vybraných gymnáziích (Pilot G)</t>
  </si>
  <si>
    <t>Tvorba a ověřování pilotních ŠVP na vybraných středních odborných školách a středních odborných učilištích (Pilot S)</t>
  </si>
  <si>
    <t>Vytvoření systému externího monitorování a hodnocení včetně zřízení Centra pro zajišťování výsledků vzdělávání (včetně informační a poradenské činnosti) (Kvalita I )</t>
  </si>
  <si>
    <t>Rozvoj Národní soustavy kvalifikací podporující propojení počátečního a dalšího vzdělávání (NSK - Národní soustava kvalifikací)</t>
  </si>
  <si>
    <t>Program Sokrates</t>
  </si>
  <si>
    <t>Podpora dalšího vzdělávání pedagogických pracovníků zabezpečovaného vzdělávacími zařízeními zřizovanými kraji</t>
  </si>
  <si>
    <t>Další vzdělávání pedagogických pracovníků - zpřístupnění pracovníkům ZŠ s ročníky I. stupně</t>
  </si>
  <si>
    <t>Bezplatná příprava dětí azylantů, účastníků řízení o azyl a dětí osob se státní příslušností jiného členského státu EU k začlenění do základního vzdělávání</t>
  </si>
  <si>
    <t>Grantové projekty ESF pro Opatření 3.1 OPRLZ</t>
  </si>
  <si>
    <t>Péče o nadané žáky ve školských poradenských zařízeních</t>
  </si>
  <si>
    <t>Asistenti pedagogů pro děti, žáky a studenty se sociálním znevýhodněním</t>
  </si>
  <si>
    <t>Speciální učebnice, speciální učební texty a materiály pro žáky se zrakovým, sluchovým, mentálním postižením, autismem a poruchami učení v roce 2006</t>
  </si>
  <si>
    <t>Náhradní stravování dětí, žáků a studentů krajského a obecního školství</t>
  </si>
  <si>
    <t>Pilot - pokusné ověřování</t>
  </si>
  <si>
    <t>Rekonstrukce tělovýchovného areálu Masarykovy ZŠ Litoměřice</t>
  </si>
  <si>
    <t>Výstavba a obnova sportovních zařízení - program č. 333510, nynější program č. 233510</t>
  </si>
  <si>
    <t>Výstavba a obnova budov a staveb VŠ - program č. 333310</t>
  </si>
  <si>
    <t>Státní informační politika – investice</t>
  </si>
  <si>
    <t>Volnočasové aktivity – investice – místní nestátní neziskové organizace</t>
  </si>
  <si>
    <t>Výstavba a obnova budov a staveb základních škol - program č. 333110 - investice</t>
  </si>
  <si>
    <t>Výstavba a obnova budov a staveb středních škol - program č. 333210 - investice</t>
  </si>
  <si>
    <t>Účelové investiční dotace obcím a krajům na nákup učebních pomůcek</t>
  </si>
  <si>
    <t>Zajištění národního rozvojového programu mobility pro všechny - program č. 233010 - IV</t>
  </si>
  <si>
    <t>Globální grant OP VK v oblasti dalšího vzdělávání - investice</t>
  </si>
  <si>
    <t>Individuální projekt ostatní OP VK - investice - EU</t>
  </si>
  <si>
    <t>Počáteční vzdělávání v globálních grantech OP VK - investice - EU</t>
  </si>
  <si>
    <t>Zajištění Národního rozvojového programu mobility pro všechny – program č. 133010</t>
  </si>
  <si>
    <t>Podpora obnovy materiálně technické základny sportu – program 133510</t>
  </si>
  <si>
    <t>OP Výzkum a vývoj pro Inovace - Prioritní osa 3 - investice</t>
  </si>
  <si>
    <t>Rozvoj výukových kapacit MŠ a ZŠ zřizovaných ÚSC – IV</t>
  </si>
  <si>
    <t>Program podpory pro památky UNESCO - NIV</t>
  </si>
  <si>
    <t>Podpora obnovy kulturních památek prostřednictvím obcí s rozšířenou působností - NIV</t>
  </si>
  <si>
    <t>Národní podpora využití potenciálu kulturního dědictví a technická pomoc - program č. 234 11G - NIV - SR</t>
  </si>
  <si>
    <t>Národní podpora využití potenciálu kulturního dědictví a technická pomoc - program č. 234 11G - NIV - EU</t>
  </si>
  <si>
    <t>Program mobility pro všechny - podprogram č. 234 215 - NIV</t>
  </si>
  <si>
    <t>Program podpory významných a mimořádných kulturních akcí (fin 7224)</t>
  </si>
  <si>
    <t>Podpora filmové produkce (fin 7241)</t>
  </si>
  <si>
    <t>Program mobility pro všechny – podprogram č. 134215 – NIV</t>
  </si>
  <si>
    <t>Podpora reprodukce majetku regionálních kulturních zařízení – podprogram č. 134212 – NIV</t>
  </si>
  <si>
    <t>Program mobility pro všechny - podprogram č. 134 415 - neinvestice</t>
  </si>
  <si>
    <t>ISO B Evidence a domumentace movitého kulturního dědictví - podprogram č. 134 513 - neinvestiční</t>
  </si>
  <si>
    <t>ISO C Výkupy předmětů - podprogram č. 134 514 - neinvestiční</t>
  </si>
  <si>
    <t>ISO D Preventivní ochrana před vlivy prostředí - podprogram č. 134 515 - neinvestiční</t>
  </si>
  <si>
    <t>ISO A Zabezpečení objektů – podprogram č. 134 512 – neinvestiční</t>
  </si>
  <si>
    <t>Podpora obnovy kulturních památek v majetku krajů a obcí – program č. 134612 – NIV</t>
  </si>
  <si>
    <t>Záchrana architektonického dědictví - program č. 334030 - neinvestice</t>
  </si>
  <si>
    <t>Veřejné informační služby knihoven - neinvestice</t>
  </si>
  <si>
    <t>Program regenerace městských památkových rezervací a městských památkových zón - neinvestice</t>
  </si>
  <si>
    <t>Havárie střech památek</t>
  </si>
  <si>
    <t>Program péče o vesnické památkové rezervace a zóny a krajinné památkové zóny</t>
  </si>
  <si>
    <t>Kulturní aktivity</t>
  </si>
  <si>
    <t>Program restaurování movitých kulturních památek</t>
  </si>
  <si>
    <t>Podpora aktivit národnostních a etnických menšin</t>
  </si>
  <si>
    <t>Účelové neinvestiční dotace v oblasti kultury – program č. 334010</t>
  </si>
  <si>
    <t>Státní pomoc při obnově území poškozeného pvoodní 2006 - program č. 234218 - NIV</t>
  </si>
  <si>
    <t>Zajištění regionálních funkcí veřejných knihoven - neinvestice</t>
  </si>
  <si>
    <t>Restituce - program č. 334070 - neinvestice</t>
  </si>
  <si>
    <t>Podpora projektů integrace příslušníků romské komunity</t>
  </si>
  <si>
    <t>Výdaje na odstraňování škod způsobených povodněmi v r. 2002 – neinvestice</t>
  </si>
  <si>
    <t>Rehabilitace památníků bojů za svobodu, nezávislost a demokracii – program č. 334126 - neinvestice</t>
  </si>
  <si>
    <t>Výdaje na financování komunitárních programů</t>
  </si>
  <si>
    <t>Podpora obnovy kulturních památek – program č. 234813 – neinvestice</t>
  </si>
  <si>
    <t>Záchrana architektonického dědictví – program č. 234312 – neinvestice</t>
  </si>
  <si>
    <t>Rehabilitace památníků bojů za svobodu, nezávislost a demokracii – program č. 234314 - neinvestice</t>
  </si>
  <si>
    <t>Integrovaný systém ochrany movitého kulturního dědictví – program č. 234313 - neinvestice</t>
  </si>
  <si>
    <t>Podpora obnovy majetku regionálních kulturních zařízení – program č. 234812 - neinvestice</t>
  </si>
  <si>
    <t>Podpora rozvoje a obnovy mat. tech. základny regionálních kulturních zařízení – program č. 234212 - neinvestice</t>
  </si>
  <si>
    <t>Obnova kulturních památek podle § 16 odst. 2 zákona č. 20/1987 - NIV</t>
  </si>
  <si>
    <t>Záchrana architektonického dědictví - neinvestice - program č. 434 312</t>
  </si>
  <si>
    <t>Integrovaný systém ochrany movitého kulturního dědictví - neinvestice - program č. 434 313</t>
  </si>
  <si>
    <t>Program státní podpory profesionálních divadel a stálých profesionálních symfonických orchestrů a pěveckých sborů</t>
  </si>
  <si>
    <t>Účelové investiční dotace v oblasti kultury – program č. 334010</t>
  </si>
  <si>
    <t>Záchrana architektonického dědictví - program č. 334030 - investice</t>
  </si>
  <si>
    <t>Veřejné informační služby knihoven - investice</t>
  </si>
  <si>
    <t>Zajištění regionálních funkcí veřejných knihoven - investice</t>
  </si>
  <si>
    <t>Restituce - program č. 334070 – investice</t>
  </si>
  <si>
    <t>Podpora reprodukce majetku církví a náboženských organizací – program č. 234412 - investice</t>
  </si>
  <si>
    <t>Rehabilitace památníků bojů za svobodu, nezávislost a demokracii – program č. 334120 - investice</t>
  </si>
  <si>
    <t>Podpora obnovy kulturních památek – program č. 234813 – investice</t>
  </si>
  <si>
    <t>Záchrana architektonického dědictví – program č. 234312 – investice</t>
  </si>
  <si>
    <t>Rehabilitace památníků bojů za svobodu, nezávislost a demokracii – program č. 234314 - investice</t>
  </si>
  <si>
    <t>Integrovaný systém ochrany movitého kulturního dědictví – program č. 234313 - investice</t>
  </si>
  <si>
    <t>Podpora obnovy majetku regionálních kulturních zařízení – program č. 234812 - investice</t>
  </si>
  <si>
    <t>Podpora rozvoje a obnovy mat. tech. základny regionálních kulturních zařízení – program č. 234212 - investice</t>
  </si>
  <si>
    <t>Záchrana architektonického dědictví - investice - program č. 434 312</t>
  </si>
  <si>
    <t>Integrovaný systém ochrany movitého kulturního dědictví - investice - program č. 434 313</t>
  </si>
  <si>
    <t>Obnova kulturních památek podle § 16 odst. 2 zákona č. 20/1987 - IV</t>
  </si>
  <si>
    <t>Státní pomoc při obnově území poškozeného pvoodní 2006 - program č. 234218 - IV</t>
  </si>
  <si>
    <t>Program podpory pro památky UNESCO - IV</t>
  </si>
  <si>
    <t>Podpora obnovy kulturních památek prostřednictvím obcí s rozšířenou působností - IV</t>
  </si>
  <si>
    <t>Národní podpora využití potenciálu kulturního dědictví a technická pomoc - program č. 234 11G - IV - SR</t>
  </si>
  <si>
    <t>Národní podpora využití potenciálu kulturního dědictví a technická pomoc - program č. 234 11G - IV - EU</t>
  </si>
  <si>
    <t>Program mobility pro všechny - podprogram č. 234 215 - IV</t>
  </si>
  <si>
    <t>Program mobility pro všechny – podprogram č. 134215 – IV</t>
  </si>
  <si>
    <t>Podpora reprodukce majetku regionálních kulturních zařízení – podprogram č. 134212 – IV</t>
  </si>
  <si>
    <t>Program mobility pro všechny - podprogram č. 134 415 - investice</t>
  </si>
  <si>
    <t>ISO A Zabezpečení objektů - podprogram č. 134 512 - investiční</t>
  </si>
  <si>
    <t>ISO D Preventivní ochrana před vlivy prostředí - podprogram č. 134 515 - investiční</t>
  </si>
  <si>
    <t>ISO B Evidence a dokumentace movitého kulturního dědictví – podprogram č. 134 513 – investiční</t>
  </si>
  <si>
    <t>ISO C Výkupy předmětů kulturní hodnoty mimořádného významu – investiční</t>
  </si>
  <si>
    <t>Podpora obnovy kulturních památek v majetku krajů a obcí – program č. 134612 – IV</t>
  </si>
  <si>
    <t>Služby v oblasti veřejného zdraví 235 310C (IOP) – SF – NIV</t>
  </si>
  <si>
    <t>Služby v oblasti veřejného zdraví 235 310C (IOP) – SR – NIV</t>
  </si>
  <si>
    <t>Zahraniční rozvojová spolupráce - NIV</t>
  </si>
  <si>
    <t>IOP oblast intervence 3.2 – program č. 13532C – SR – NIV</t>
  </si>
  <si>
    <t>IOP oblast intervence 3.2 – program č. 13532C – SF – NIV</t>
  </si>
  <si>
    <t>IOP oblast intervence 3.4d) – program č. 13532E – SR – NIV</t>
  </si>
  <si>
    <t>IOP oblast intervence 3.4d) – program č. 13532E – SF – NIV</t>
  </si>
  <si>
    <t>Program švýcarsko-české spolupráce – program č. 13532P – SR – NIV</t>
  </si>
  <si>
    <t>Program švýcarsko-české spolupráce – program č. 13532P – Jiné zdroje EU – NIV</t>
  </si>
  <si>
    <t>OP ŽP – program č. 13532Q – SR – NIV</t>
  </si>
  <si>
    <t>OP ŽP – program č. 13532Q – SF – NIV</t>
  </si>
  <si>
    <t>EHP Norsko – program č. 13532R – SR – NIV</t>
  </si>
  <si>
    <t>EHP Norsko – program č. 13532R – Jiné zdroje EU – NIV</t>
  </si>
  <si>
    <t>Zajištění zdravotnického záchranného systému - NIV</t>
  </si>
  <si>
    <t>Specializační vzdělávání zdravotnických pracovníků - rezidenční místa - neinvestice</t>
  </si>
  <si>
    <t>OP LZaZ Prohlubování vzdělávání lékařů - SR</t>
  </si>
  <si>
    <t>OPLZaZ Prohlubování vzdělávání lékařů - SF</t>
  </si>
  <si>
    <t>Připravenost poskytovatele ZZS na řešení mimořádných událostí a krizových situací</t>
  </si>
  <si>
    <t>Specializační vzdělávání nelékařů </t>
  </si>
  <si>
    <t>Program péče o zdravotně postižené občany - neinvestice</t>
  </si>
  <si>
    <t>Humanitární činnost ve zdravotnictví</t>
  </si>
  <si>
    <t>Národní program zdraví</t>
  </si>
  <si>
    <t>Program prevence HIV/AIDS - neinvestice</t>
  </si>
  <si>
    <t>Střediska vědecko-lékařských informací</t>
  </si>
  <si>
    <t>Účelové dotace agenturám zajišťujícím domácí péči</t>
  </si>
  <si>
    <t>Protidrogový program - neinvestice</t>
  </si>
  <si>
    <t>Cerebrovaskulární program</t>
  </si>
  <si>
    <t>Podpora zpracování krevní plazmy</t>
  </si>
  <si>
    <t>Podpora rozvoje a obnovy mat. tech. základny regionálního zdravotnictví– program č. 235 210 - neinvestice</t>
  </si>
  <si>
    <t>Podpora zdravotní péče - program č. 235 310 - neinvestice</t>
  </si>
  <si>
    <t>Rozvoj zdravotně sociální péče – program č. 235 320 - neinvestice</t>
  </si>
  <si>
    <t>Program podpory a ochrany veřejného zdraví - program č. 235 330 – neinvestice</t>
  </si>
  <si>
    <t>Program zdravého stárnutí - neinvestice</t>
  </si>
  <si>
    <t>Program kvality zdravotní péče - neinvestice</t>
  </si>
  <si>
    <t>Rozvoj a obnova materiálně technické základny zdravotnického školství a vzdělávání - program č. 235020 - NIV</t>
  </si>
  <si>
    <t>Prevence kriminality - neinvestice</t>
  </si>
  <si>
    <t>Ostatní zdravotnické programy - neinvestice</t>
  </si>
  <si>
    <t>Výstavba a technická obnova nemocnic a léčebných zařízení v působnosti MZ - program č. 335010</t>
  </si>
  <si>
    <t>Vybavení nemocnic, poliklinik, záchranné služby stroji a zařízeními - program č. 335020</t>
  </si>
  <si>
    <t>Podpora a optimalizace sítě regionálních zdravotnických zařízení - program č. 335210</t>
  </si>
  <si>
    <t>Program péče o zdravotně postižené občany - investice</t>
  </si>
  <si>
    <t>Program prevence HIV/AIDS - investice</t>
  </si>
  <si>
    <t>Protidrogový program - investice</t>
  </si>
  <si>
    <t>Podpora rozvoje a obnovy mat. tech. základny regionálního zdravotnictví– program č. 235 210 - investice</t>
  </si>
  <si>
    <t>Podpora zdravotní péče - program č. 235 310 - investice</t>
  </si>
  <si>
    <t>Rozvoj zdravotně sociální péče – program č. 235 320 - investice</t>
  </si>
  <si>
    <t>Program podpory a ochrany veřejného zdraví - program č. 235 330 – investice</t>
  </si>
  <si>
    <t>Program zdravého stárnutí - investice</t>
  </si>
  <si>
    <t>Rozvoj a obnova materiálně technické základny zdravotnického školství a vzdělávání - program č. 235020 - IV</t>
  </si>
  <si>
    <t>Investiční transfery neevidované v ISPROFIN</t>
  </si>
  <si>
    <t>Služby v oblasti veřejného zdraví 235 310C (IOP) – SF – INV</t>
  </si>
  <si>
    <t>Služby v oblasti veřejného zdraví 235 310C (IOP) – SR – INV</t>
  </si>
  <si>
    <t>Zahraniční rozvojová spolupráce - IV</t>
  </si>
  <si>
    <t>IOP oblast intervence 3.2 – program č. 13532C – SR – INV</t>
  </si>
  <si>
    <t>IOP oblast intervence 3.2 – program č. 13532C – SF – INV</t>
  </si>
  <si>
    <t>IOP oblast intervence 3.4d) – program č. 13532E – SR – INV</t>
  </si>
  <si>
    <t>IOP oblast intervence 3.4d) – program č. 13532E – SF – INV</t>
  </si>
  <si>
    <t>Program švýcarsko-české spolupráce – program č. 13532P – SR – INV</t>
  </si>
  <si>
    <t>Program švýcarsko-české spolupráce – program č. 13532P – Jiné zdroje EU – INV</t>
  </si>
  <si>
    <t>OP ŽP – program č. 13532Q – SR – INV</t>
  </si>
  <si>
    <t>OP ŽP – program č. 13532Q – SF – INV</t>
  </si>
  <si>
    <t>EHP Norsko – program č. 13532R – SR – INV</t>
  </si>
  <si>
    <t>EHP Norsko – program č. 13532R – Jiné zdroje EU – INV</t>
  </si>
  <si>
    <t>Připravenost poskytovatele ZZS na řešení mimořádných událostí a krizových situací – program č. 235210 – IV</t>
  </si>
  <si>
    <t>Národní program počítačové gramotnosti</t>
  </si>
  <si>
    <t>Podpora vysokorychlostního přístupu na internet - NIV</t>
  </si>
  <si>
    <t>Podpora vysokorychlostního přístupu na internet - IV</t>
  </si>
  <si>
    <t>Investiční dotace obcím a krajům</t>
  </si>
  <si>
    <t>Vyhledávání budov se zvýšeným obsahem radonu</t>
  </si>
  <si>
    <t>ROP RS Střední Čechy – NIV – SR (vazba na ÚZ 17375)</t>
  </si>
  <si>
    <t>ROP RS Střední Čechy – NIV – EU (vazba na ÚZ 17082)</t>
  </si>
  <si>
    <t>ROP RS Střední Čechy – IV – SR (vazba na ÚZ 17840)</t>
  </si>
  <si>
    <t>ROP RS Střední Čechy – IV – EU (vazba na ÚZ 17849)</t>
  </si>
  <si>
    <t>ROP RS Jihozápad – NIV – SR (vazba na ÚZ 17377)</t>
  </si>
  <si>
    <t>ROP RS Jihozápad – NIV – RR</t>
  </si>
  <si>
    <t>RS Jihozápad – NIV – RR</t>
  </si>
  <si>
    <t>ROP RS Jihozápad – NIV – EU (vazba na ÚZ 17083)</t>
  </si>
  <si>
    <t>ROP RS Jihozápad – IV – SR (vazba na ÚZ 17841)</t>
  </si>
  <si>
    <t>ROP RS Jihozápad – IV – EU (vazba na ÚZ 17850)</t>
  </si>
  <si>
    <t>ROP RS Jihozápad – IV – RR</t>
  </si>
  <si>
    <t>ROP RS Severozápad – NIV – SR (vazba na ÚZ 17386)</t>
  </si>
  <si>
    <t>ROP RS Severozápad – NIV – EU (vazba na ÚZ 17098)</t>
  </si>
  <si>
    <t>ROP RS Severozápad – IV – SR (vazba na ÚZ 17842)</t>
  </si>
  <si>
    <t>ROP RS Severozápad – IV – EU (vazba na ÚZ 17851)</t>
  </si>
  <si>
    <t>ROP RS Severovýchod – NIV – SR (vazba na ÚZ 17391)</t>
  </si>
  <si>
    <t>ROP RS Severovýchod – NIV – EU (vazba na ÚZ 17159)</t>
  </si>
  <si>
    <t>ROP RS Severovýchod – IV – SR (vazba na ÚZ 17844)</t>
  </si>
  <si>
    <t>ROP RS Severovýchod – IV – EU (vazba na ÚZ 17853)</t>
  </si>
  <si>
    <t>ROP RS Jihovýchod – NIV – SR (vazba na ÚZ 17387)</t>
  </si>
  <si>
    <t>ROP RS Jihovýchod – NIV – RR</t>
  </si>
  <si>
    <t>ROP RS Jihovýchod – NIV – EU (vazba na ÚZ 17099)</t>
  </si>
  <si>
    <t>ROP RS Jihovýchod – IV – SR (vazba na ÚZ 17843)</t>
  </si>
  <si>
    <t>ROP RS Jihovýchod – IV – EU (vazba na ÚZ 17852)</t>
  </si>
  <si>
    <t>ROP RS Jihovýchod – IV – RR</t>
  </si>
  <si>
    <t>ROP RS Střední Morava – NIV – SR (vazba na ÚZ 17395)</t>
  </si>
  <si>
    <t>ROP RS Střední Morava – NIV – EU (vazba na ÚZ 17124)</t>
  </si>
  <si>
    <t>ROP RS Střední Morava – IV – SR (vazba na ÚZ 17846)</t>
  </si>
  <si>
    <t>ROP RS Střední Morava – IV – EU (vazba na ÚZ 17855)</t>
  </si>
  <si>
    <t>ROP RS Moravskoslezsko – NIV – SR (vazba na ÚZ 17392)</t>
  </si>
  <si>
    <t>ROP RS Moravskoslezsko – NIV – EU (vazba na ÚZ 17123)</t>
  </si>
  <si>
    <t>ROP RS Moravskoslezsko – IV – SR (vazba na ÚZ 17845)</t>
  </si>
  <si>
    <t>ROP RS Moravskoslezsko – IV – EU (vazba na ÚZ 17854)</t>
  </si>
  <si>
    <t>Lesnická technika–NIV-SR</t>
  </si>
  <si>
    <t>Lesnická technika–NIV-EU</t>
  </si>
  <si>
    <t>Technické vybavení provozoven–NIV-SR</t>
  </si>
  <si>
    <t>Technické vybavení provozoven–NIV-EU</t>
  </si>
  <si>
    <t>Lesnická infrastruktura–NIV-SR</t>
  </si>
  <si>
    <t>Lesnická infrastruktura–NIV-EU</t>
  </si>
  <si>
    <t>Obnova lesního potenciálu po kalamitách a zavádění preventivních opatření – NIV-SR</t>
  </si>
  <si>
    <t>Obnova lesního potenciálu po kalamitách a zavádění preventivních opatření – NIV-EU</t>
  </si>
  <si>
    <t>Neproduktivní investice v lesích – NIV-SR</t>
  </si>
  <si>
    <t>Neproduktivní investice v lesích – NIV-EU</t>
  </si>
  <si>
    <t>Obnova a rozvoj vesnic – NIV-SR</t>
  </si>
  <si>
    <t>Obnova a rozvoj vesnic – NIV-EU</t>
  </si>
  <si>
    <t>Ochrana a rozvoj kulturního dědictví venkova-NIV-SR</t>
  </si>
  <si>
    <t>Ochrana a rozvoj kulturního dědictví venkova-NIV-EU</t>
  </si>
  <si>
    <t>Vzdělávání a informace-NIV-SR</t>
  </si>
  <si>
    <t>Vzdělávání a informace-NIV-EU</t>
  </si>
  <si>
    <t>Realizace místní rozvojové strategie – NIV-SR</t>
  </si>
  <si>
    <t>Realizace místní rozvojové strategie – NIV-EU</t>
  </si>
  <si>
    <t>Méně příznivé oblasti a oblasti s environmentálnímí opatřeními-EU</t>
  </si>
  <si>
    <t>Agroenvironmentální opatření-EU</t>
  </si>
  <si>
    <t>Zalesňování zemědělské půdy-EU</t>
  </si>
  <si>
    <t>Zakládání porostů rychlerostoucích dřevin-EU</t>
  </si>
  <si>
    <t>Přímé platby-EU</t>
  </si>
  <si>
    <t>Občanské vybavení a služby - NIV - SR</t>
  </si>
  <si>
    <t>Občanské vybavení a služby - NIV - EU</t>
  </si>
  <si>
    <t>Využívání poradenských služeb - NIV - SR</t>
  </si>
  <si>
    <t>Využívání poradenských služeb - NIV - EU</t>
  </si>
  <si>
    <t>Lesnicko-environmentální platby - SR</t>
  </si>
  <si>
    <t>Lesnicko-environmentální platby - EU</t>
  </si>
  <si>
    <t>Další odborné vzdělávání a informační činnost - NIV - SR</t>
  </si>
  <si>
    <t>Další odborné vzdělávání a informační činnost - NIV - EU</t>
  </si>
  <si>
    <t>Zakládání porostů rychlerostoucích dřevin - SR</t>
  </si>
  <si>
    <t>Zalesňování zemědělské půdy - SR</t>
  </si>
  <si>
    <t>Agroenvironmentální opatření - SR</t>
  </si>
  <si>
    <t>Méně příznivé oblasti a oblasti s environmentálními opatřeními - SR</t>
  </si>
  <si>
    <t>Přímé platby - SR</t>
  </si>
  <si>
    <t>Lesnická technika–IV-SR</t>
  </si>
  <si>
    <t>Lesnická technika–IV-EU</t>
  </si>
  <si>
    <t>Technické vybavení provozoven–IV-SR</t>
  </si>
  <si>
    <t>Technické vybavení provozoven–IV-EU</t>
  </si>
  <si>
    <t>Lesnická infrastruktura–IV-SR</t>
  </si>
  <si>
    <t>Lesnická infrastruktura–IV-EU</t>
  </si>
  <si>
    <t>Obnova lesního potenciálu po kalamitách a zavádění preventivních opatření – IV-SR</t>
  </si>
  <si>
    <t>Obnova lesního potenciálu po kalamitách a zavádění preventivních opatření – IV-EU</t>
  </si>
  <si>
    <t>Neproduktivní investice v lesích - IV-SR</t>
  </si>
  <si>
    <t>Neproduktivní investice v lesích – IV-EU</t>
  </si>
  <si>
    <t>Obnova a rozvoj vesnic – IV-SR</t>
  </si>
  <si>
    <t>Obnova a rozvoj vesnic – IV-EU</t>
  </si>
  <si>
    <t>Občanské vybavení a služby – IV-SR</t>
  </si>
  <si>
    <t>Občanské vybavení a služby – IV-EU</t>
  </si>
  <si>
    <t>Ochrana a rozvoj kulturního dědictví venkova-IV-SR</t>
  </si>
  <si>
    <t>Ochrana a rozvoj kulturního dědictví venkova-IV-EU</t>
  </si>
  <si>
    <t>Realizace místní rozvojové strategie – IV-SR</t>
  </si>
  <si>
    <t>Realizace místní rozvojové strategie – IV-EU</t>
  </si>
  <si>
    <t>Využívání poradenských služeb - IV - SR</t>
  </si>
  <si>
    <t>Využívání poradenských služeb - IV - EU</t>
  </si>
  <si>
    <t>Operační program životní prostředí (2007-2013) - spolufinancování - NIV</t>
  </si>
  <si>
    <t>Ochrana vod</t>
  </si>
  <si>
    <t>Ochrana ovzduší</t>
  </si>
  <si>
    <t>Ochrana přírody</t>
  </si>
  <si>
    <t>Nakládání s odpady</t>
  </si>
  <si>
    <t>Technologie, výrobky a alternativní zdroje energie</t>
  </si>
  <si>
    <t>Doplatky - neinvestice</t>
  </si>
  <si>
    <t>Operační program Infrastruktura - životní prostředí - NIV</t>
  </si>
  <si>
    <t>Doplatky - investice</t>
  </si>
  <si>
    <t>Odstraňování starých ekologických zátěží</t>
  </si>
  <si>
    <t>Operační program Infrastruktura - životní prostředí - IV</t>
  </si>
  <si>
    <t>Operační program životní prostředí (2007-2013) - spolufinancování - IV</t>
  </si>
  <si>
    <t>Program GIS - zelená úsporám</t>
  </si>
  <si>
    <t>Nová zelená úsporám 2013</t>
  </si>
  <si>
    <t>Financování dopravní infrastruktury - neinvestice</t>
  </si>
  <si>
    <t>Financování dopravní infrastruktury - investice</t>
  </si>
  <si>
    <t>Dotace na opravu bytového fondu poškozeného povodní v roce 2009</t>
  </si>
  <si>
    <t>Podpora úvěrů na opravy panelových bytových domů</t>
  </si>
  <si>
    <t>Nízkoúročený úvěr obcím na opravy a modernizace bytového fondu</t>
  </si>
  <si>
    <t>Dotace na opravu bytového fondu poškozeného povodní v roce 2002</t>
  </si>
  <si>
    <t>Dotace na opravu havarijních vad panelových bytových domů</t>
  </si>
  <si>
    <t>Dotace na opravu bytového fondu poškozeného povodní v roce 2006</t>
  </si>
  <si>
    <t>Účelové dotace na výstavbu obecních nájemních bytů</t>
  </si>
  <si>
    <t>Účelové dotace na výstavbu bytů v domech s pečovatelskou službou</t>
  </si>
  <si>
    <t>Účelové dotace na výstavbu nájemních bytů pro obce postižené povodní v roce 2002</t>
  </si>
  <si>
    <t>Výstavba nájemních bytů v obcích pro nízkopříjmové skupiny obyvatel</t>
  </si>
  <si>
    <t>Investiční dotace pro obce podle nařízení vlády č. 369/2003 Sb.</t>
  </si>
  <si>
    <t>Výstavba sociálních bytů</t>
  </si>
  <si>
    <t>Úvěry na modernizace domů dle NV č. 468/2012 Sb.</t>
  </si>
  <si>
    <t>Investiční úvěry na výstavbu nájemních bytů dle NV č. 284/2011 Sb.</t>
  </si>
  <si>
    <t>Účelové neinvestiční dotace územním samosprávným celkům na podporu kinematografie</t>
  </si>
  <si>
    <t>Účelové investiční dotace územním samosprávným celkům na podporu kinematografie</t>
  </si>
  <si>
    <t>Účelové neinvestiční dotace územním samosprávným celkům na podporu kultury</t>
  </si>
  <si>
    <t>Účelové investiční dotace územním samosprávným celkům na podporu kultury</t>
  </si>
  <si>
    <t>Program švýcarsko-české spolupráce - NIV</t>
  </si>
  <si>
    <t>A1. čištění, opravy, obnova a rekonstrukce poškozené infrastruktury a veřejného majetku (pozemní komunikace, chodníky, kanalizační systémy, čistírny odpadních vod, vodovodní potrubí, odvodňovací kanály, odtokové žlaby a propustky, obnova mostů, apod.) – NIV</t>
  </si>
  <si>
    <t>A2. výdaje spojené s prozatímními konstrukcemi mostů – NIV</t>
  </si>
  <si>
    <t>A3. zajišťování stability poškozených silničních svahů silničních těles opěrnými zdmi – NIV</t>
  </si>
  <si>
    <t>A4. nutná obnova veřejných budov zajištujících základní funkce obyvatelstvu (školní zařízení, nemocnice, sociální zařízení, obecní úřady, ordinace lékařů, společenské sály, apod.) – NIV</t>
  </si>
  <si>
    <t>B1. dočasné ubytování (obyvatel, vojáků, apod.) – NIV</t>
  </si>
  <si>
    <t>B2. výdaje za spotřebovaný materiál – NIV</t>
  </si>
  <si>
    <t>B3. kompenzace (odpisové hodnoty) zničeného nebo poškozeného vybavení (čerpadla, protipovodňové pytle, plničky protipovodňových pytlů, desinfekční zařízení) – NIV</t>
  </si>
  <si>
    <t>B4. dezinsekce, zejména kalamitního výskytu komárů – NIV</t>
  </si>
  <si>
    <t>B5. záchranné služby a služby sdružení dobrovolných hasičů (výdaje spojené s nasazením záchranných služeb v zaplavených oblastech, refundace mezd dobrovolných hasičů, další nadstandardní mzdové výdaje spojené s odstraňováním povodňových škod, apod.) – NIV</t>
  </si>
  <si>
    <t>C1. zajišťování infrastruktury a ochranných opatření během stavu nebezpečí (obnova protipovodňových hrází, instalace provizorních protipovodňových opatření, mobilní hrazení, dotěsňování otvorů, apod.) – NIV</t>
  </si>
  <si>
    <t>C2. opravy a posílení/zpevnění staticky narušených nebo poškozených staveb (opravy/obnova budov, svahů, přehrad, hrází, říčních břehů, propustí, opěrných zdí, apod.) – NIV</t>
  </si>
  <si>
    <t>C3. výdaje spojené s geologickými a diagnostickými průzkumy (statika, dynamika, posuny, pohyby trhlin, apod.), sanace sesuvů, zpevnění a úpravy terénu, dezinfekce, apod. – NIV</t>
  </si>
  <si>
    <t>D1. výdaje spojené s čištěním veřejných prostranství a infrastruktury (vysoušení, odvodňování, odčerpávání vody, odvlhčování staveb, odstraňování nánosů bahna, kalů a naplavenin, likvidace a odvoz trosek a jiného odpadu, zejména kácení a odstraňování rizikových a rozlámaných dřevin, apod.) – NIV</t>
  </si>
  <si>
    <t>D2. odstraňování znečištění půdy a vod – NIV</t>
  </si>
  <si>
    <t>D3. odstraňování staticky narušených staveb (budov, mostů, technologických zařízení, apod.) – NIV</t>
  </si>
  <si>
    <t>D4. práce s těžkou technikou (zejména jeřábnické, vyprošťovací a likvidační práce, bagry, nakladače, apod.) – NIV</t>
  </si>
  <si>
    <t>A5. Obnova funkce čistíren odpadních vod - NIV</t>
  </si>
  <si>
    <t>A6. Výstavba a opravy opěrných zdí, opravy protržených hrází obecních rybníků - NIV</t>
  </si>
  <si>
    <t>A7. Nutné opravy a obnova (zejména okamžité odčerpání vody ze zatopených sklepů, vysoušení a sanace omítek) budov poskytujících základní služby obyvatelstvu (obytné prostory v obecním vlastnictví, domy s pečovatelskou službou, obecní a krajské nebytové prostory: školy, úřady, zdravotnická zařízení, zařízení sociální péče), opravy zábradlí, apod. - NIV</t>
  </si>
  <si>
    <t>A8. Opravy pozemních komunikací včetně příslušenství , opravy mostů, opěrných zdí a propustků, úpravy vodních koryt, práce spojené s odstraňováním povodňových škod na komunikacích a mostech (např. osazení betonových svodidel) - NIV</t>
  </si>
  <si>
    <t>B6. Záchranné služby a služby sdružení dobrovolných hasičů (výdaje spojené s nasazením záchranných služeb v zaplavených oblastech, refundace mezd dobrovolných hasičů v zaplacených oblastech, další nadstandardní mzdové výdaje spojené s odstraňováním povodňových škod, zejména přesčasy pracovníků záchranných služeb, apod.) - NIV</t>
  </si>
  <si>
    <t>B7. Nutné služby externích organizací související s prácemi na likvidaci povodně a nutnými zabezpečovacími pracemi a výdaje spojené s poskytováním informačního SMS servisu - NIV</t>
  </si>
  <si>
    <t>B8. Nákup spotřebního materiálu nutného k zabezpečení situace po povodni (zejména lékařský materiál, léky, pytle, písek, apod.) - NIV</t>
  </si>
  <si>
    <t>B9. Obnovení výjezdové záchranné služby (oprava budovy, kompenzace (odpisové hodnoty zničeného nebo poškozeného vybavení), oprava sanitního vozu práce spojené se zajištěním dopravní obslužnosti - NIV</t>
  </si>
  <si>
    <t>B10. Ozdravné pobyty dětí zasažených povodní (nutné zdravotní pobyty dětí z nejvíce zasažených budov, realizované ihned po povodni, tedy suplující přechodné ubytování dětí po dobu likvidace nejzávažnějších škod) - NIV</t>
  </si>
  <si>
    <t>C4. Nutné demolice obecních objektů (např. mateřská školka) - NIV</t>
  </si>
  <si>
    <t>Finanční mechanismus EHP/Norska 2009-2014 - NIV</t>
  </si>
  <si>
    <t>Povodně 2013 – Čechy – NIV</t>
  </si>
  <si>
    <t>Povodně 2013 – Morava – NIV</t>
  </si>
  <si>
    <t>EHP-Norsko II – NIV</t>
  </si>
  <si>
    <t>CZ.3.22 Operační program Přeshraniční spolupráce ČR – Polsko – NIV</t>
  </si>
  <si>
    <t>Přeshraniční spolupráce ČR – Německo I. – CZ 9804 – NIV</t>
  </si>
  <si>
    <t>Přeshraniční spolupráce ČR – Rakousko I. – CZ 9805 – NIV</t>
  </si>
  <si>
    <t>Ekonomická a sociální koheze I. – CZ9807 – NIV</t>
  </si>
  <si>
    <t>Ekonomická a sociální koheze II. – CZ9902 – NIV</t>
  </si>
  <si>
    <t>Přeshraniční spolupráce ČR – Polsko I. – CZ 9909 – NIV</t>
  </si>
  <si>
    <t>Finanční mechanismus EHP/Norska - NIV</t>
  </si>
  <si>
    <t>Přeshraniční spolupráce ČR – Rakousko II. – CZ 9912 – NIV</t>
  </si>
  <si>
    <t>Přeshraniční spolupráce ČR – Slovensko – CZ 9913 – NIV</t>
  </si>
  <si>
    <t>Přeshraniční spolupráce ČR – Německo II. – CZ 9914 – NIV</t>
  </si>
  <si>
    <t>Vnitřní trh – CZ 0004 – NIV</t>
  </si>
  <si>
    <t>Životní prostředí II. – CZ 0006 – NIV</t>
  </si>
  <si>
    <t>Ekonomická a sociální soudržnost – CZ 0010 – NIV</t>
  </si>
  <si>
    <t>Přeshraniční spolupráce ČR – Německo III. – CZ 0012 – NIV</t>
  </si>
  <si>
    <t>Přeshraniční spolupráce ČR – Polsko II. – CZ 0013 – NIV</t>
  </si>
  <si>
    <t>Přeshraniční spolupráce ČR – Rakousko III. – CZ 0014 – NIV</t>
  </si>
  <si>
    <t>Průmyslové zóny – dodatkové investiční projekty – CZ 0016 – NIV</t>
  </si>
  <si>
    <t>Doprava – NIV</t>
  </si>
  <si>
    <t>Životní prostředí – NIV</t>
  </si>
  <si>
    <t>Technická pomoc – NIV</t>
  </si>
  <si>
    <t>Sapard 2000 - Gesce MZe – NIV</t>
  </si>
  <si>
    <t>Sapard 2000 - Gesce MMR – NIV</t>
  </si>
  <si>
    <t>Životní prostředí I. – CZ 9811 – NIV</t>
  </si>
  <si>
    <t>Demokracie/Právo/Lidská práva II.– CZ 9901 – NIV</t>
  </si>
  <si>
    <t>PPF – příprava projektů – CZ 9916 – NIV</t>
  </si>
  <si>
    <t>Institucionální a administrativní kapacita III. – CZ 0009 - NIV</t>
  </si>
  <si>
    <t>1.1 energetiky k zajištění dodávky tepla, plynu a elektřiny – NIV</t>
  </si>
  <si>
    <t>1.2. vodárenství a odpadních vod, včetně produkce pitné vody (vč. čištění studní a dalších zdrojů pitné vody), vodovodního potrubí, kanalizačních systémů, čistíren odpadních vod – NIV</t>
  </si>
  <si>
    <t>1.3. dopravy, včetně železničních tratí, silnic, mostů, chodníků, vodních cest, systému vodní dopravy a pražského metra – NIV</t>
  </si>
  <si>
    <t>1.4. zdravotnictví k zajištění fungování nemocnic a ostatních zdravotnických zařízení poskytujících základní zdravotní péči obyvatelstvu (vč. očkování) – NIV</t>
  </si>
  <si>
    <t>1.5. vzdělávání, včetně veřejně provozovaných základních, středních a vysokých škol a jejich vybavení – NIV</t>
  </si>
  <si>
    <t>1.6. poštovních služeb a dočasné obnovy telefonních sítí – NIV</t>
  </si>
  <si>
    <t>2.1. dočasné ubytování zajišťující základní životní podmínky – NIV</t>
  </si>
  <si>
    <t>2.2. záchranné služby, především požární služba, policie a zdravotnická záchranná služba, včetně hygienických a protiepidemických opatření, organizace dobrovolné práce a obnovení schopnosti poskytovat tyto služby – NIV</t>
  </si>
  <si>
    <t>3.1. preventivních infrastruktur, včetně přehrad, hrází, říčních břehů, propustí a zdymadel, ochrana systému uskladnění odpadů, posílení staticky narušených budov, skla a svahů – NIV</t>
  </si>
  <si>
    <t>3.2. ochrana kulturního dědictví, včetně obnovy základního fungování (historické budovy a centra měst, sbírky, staré tisky, knihovny, archívy) – NIV</t>
  </si>
  <si>
    <t>4. okamžitá sanace katastrofou postižených oblastí a přírodních zón, včetně vysoušení, odstranění bahna, trosek a jiného odpadu, desinfekce, odstranění znečištění půdy a vod a odstranění staticky narušených budov – NIV</t>
  </si>
  <si>
    <t>Politická kritéria - CZ 0102 - NIV</t>
  </si>
  <si>
    <t>Hospodářská a sociální soudržnost - CZ 0110- NIV</t>
  </si>
  <si>
    <t>Přeshraniční spolupráce – Rakousko IV. - CZ 0111- NIV</t>
  </si>
  <si>
    <t>Přeshraniční spolupráce – Německo IV. - CZ 0112- NIV</t>
  </si>
  <si>
    <t>Přeshraniční spolupráce – Polsko III. - CZ 0113- NIV</t>
  </si>
  <si>
    <t>Doprava - CZ 0203 (CZ2002/000-282.03) - NIV</t>
  </si>
  <si>
    <t>Přeshraniční spolupráce - Rakousko V. - CZ 0211 (CZ2002/000-583.11) - NIV</t>
  </si>
  <si>
    <t>Přeshraniční spolupráce - Německo V. - CZ 0212 (CZ2002/000-584.12) - NIV</t>
  </si>
  <si>
    <t>Přeshraniční spolupráce - Polsko IV. - CZ 0213 (CZ2002/000-608.13) - NIV</t>
  </si>
  <si>
    <t>Administrativní kapacita - CZ 0307(CZ2003/004-338.07) - NIV</t>
  </si>
  <si>
    <t>Ekonomická a sociální soudržnost - CZ0308NP1 (CZ2003/004-338.08) - NIV</t>
  </si>
  <si>
    <t>Ekonomická a sociální soudržnost - CZ 0308NP2(CZ2003/005-601.08) - NIV</t>
  </si>
  <si>
    <t>Přeshraniční spolupráce - Rakousko VI - CZ 0379- (CZ2003/005-079) - NIV</t>
  </si>
  <si>
    <t>Přeshraniční spolupráce - Německo VI. - CZ 0395- (CZ2003/005-095) - NIV</t>
  </si>
  <si>
    <t>Přeshraniční spolupráce - Polsko V. - CZ 0377- (CZ2003/005-077) - NV</t>
  </si>
  <si>
    <t>CZ.04.1.01 Operační program Průmysl a podnikání - NIV</t>
  </si>
  <si>
    <t>CZ.04.1.03 Operační program Rozvoj lidských zdrojů - NIV</t>
  </si>
  <si>
    <t>CZ.04.1.04 Operační program Rozvoj venkova a multifunkční zemědělství - NIV</t>
  </si>
  <si>
    <t>CZ.04.1.05 Společný regionální operační program (SROP) - NIV</t>
  </si>
  <si>
    <t>CZ.04.4.84 Interreg III A ČR - Slovensko - NIV</t>
  </si>
  <si>
    <t>CZ.04.4.85 Interreg III A ČR - Polsko - NIV</t>
  </si>
  <si>
    <t>CZ.04.4.82 Interreg III A ČR - Bavorsko - NIV</t>
  </si>
  <si>
    <t>2004/CZ/16/C/PT Fond soudržnosti sektor doprava - NIV</t>
  </si>
  <si>
    <t>2004/CZ/16/C/PE Fond soudržnosti sektor životní prostředí - NIV</t>
  </si>
  <si>
    <t>2004/CZ/16/C/PA Fond soudržnosti sektor Řídící orgán - NIV</t>
  </si>
  <si>
    <t>CZ.04.4.83 Interreg III A ČR - Rakousko - NIV</t>
  </si>
  <si>
    <t>Transition 2004 - NIV</t>
  </si>
  <si>
    <t>Transition 2005 - NIV</t>
  </si>
  <si>
    <t>Transition 2006 - NIV</t>
  </si>
  <si>
    <t>A1. čištění, opravy, obnova a rekonstrukce poškozené infrastruktury a veřejného majetku (pozemní komunikace, chodníky, kanalizační systémy, čistírny odpadních vod, vodovodní potrubí, odvodňovací kanály, odtokové žlaby a propustky, obnova mostů, apod.) – IV</t>
  </si>
  <si>
    <t>A2. výdaje spojené s prozatímními konstrukcemi mostů – IV</t>
  </si>
  <si>
    <t>A3. zajišťování stability poškozených silničních svahů silničních těles opěrnými zdmi – IV</t>
  </si>
  <si>
    <t>A4. nutná obnova veřejných budov zajištujících základní funkce obyvatelstvu (školní zařízení, nemocnice, sociální zařízení, obecní úřady, ordinace lékařů, společenské sály, apod.) – IV</t>
  </si>
  <si>
    <t>B1. dočasné ubytování (obyvatel, vojáků, apod.) – IV</t>
  </si>
  <si>
    <t>B2. výdaje za spotřebovaný materiál – IV</t>
  </si>
  <si>
    <t>B3. kompenzace (odpisové hodnoty) zničeného nebo poškozeného vybavení (čerpadla, protipovodňové pytle, plničky protipovodňových pytlů, desinfekční zařízení) – IV</t>
  </si>
  <si>
    <t>B4. dezinsekce, zejména kalamitního výskytu komárů – IV</t>
  </si>
  <si>
    <t>B5. záchranné služby a služby sdružení dobrovolných hasičů (výdaje spojené s nasazením záchranných služeb v zaplavených oblastech, refundace mezd dobrovolných hasičů, další nadstandardní mzdové výdaje spojené s odstraňováním povodňových škod, apod.) – IV</t>
  </si>
  <si>
    <t>C1. zajišťování infrastruktury a ochranných opatření během stavu nebezpečí (obnova protipovodňových hrází, instalace provizorních protipovodňových opatření, mobilní hrazení, dotěsňování otvorů, apod.) – IV</t>
  </si>
  <si>
    <t>C2. opravy a posílení/zpevnění staticky narušených nebo poškozených staveb (opravy/obnova budov, svahů, přehrad, hrází, říčních břehů, propustí, opěrných zdí, apod.) – IV</t>
  </si>
  <si>
    <t>C3. výdaje spojené s geologickými a diagnostickými průzkumy (statika, dynamika, posuny, pohyby trhlin, apod.), sanace sesuvů, zpevnění a úpravy terénu, dezinfekce, apod. – IV</t>
  </si>
  <si>
    <t>D1. výdaje spojené s čištěním veřejných prostranství a infrastruktury (vysoušení, odvodňování, odčerpávání vody, odvlhčování staveb, odstraňování nánosů bahna, kalů a naplavenin, likvidace a odvoz trosek a jiného odpadu, zejména kácení a odstraňování rizikových a rozlámaných dřevin, apod.) – IV</t>
  </si>
  <si>
    <t>D2. odstraňování znečištění půdy a vod – IV</t>
  </si>
  <si>
    <t>D3. odstraňování staticky narušených staveb (budov, mostů, technologických zařízení, apod.) – IV</t>
  </si>
  <si>
    <t>D4. práce s těžkou technikou (zejména jeřábnické, vyprošťovací a likvidační práce, bagry, nakladače, apod.) – IV</t>
  </si>
  <si>
    <t>A5. Obnova funkce čistíren odpadních vod - IV</t>
  </si>
  <si>
    <t>A6. Výstavba a opravy opěrných zdí, opravy protržených hrází obecních rybníků - IV</t>
  </si>
  <si>
    <t>A7. Nutné opravy a obnova (zejména okamžité odčerpání vody ze zatopených sklepů, vysoušení a sanace omítek) budov poskytujících základní služby obyvatelstvu (obytné prostory v obecním vlastnictví, domy s pečovatelskou službou, obecní a krajské nebytové prostory: školy, úřady, zdravotnická zařízení, zařízení sociální péče), opravy zábradlí, apod. - IV</t>
  </si>
  <si>
    <t>A8. Opravy pozemních komunikací včetně příslušenství , opravy mostů, opěrných zdí a propustků, úpravy vodních koryt, práce spojené s odstraňováním povodňových škod na komunikacích a mostech (např. osazení betonových svodidel) - IV</t>
  </si>
  <si>
    <t>B6. Záchranné služby a služby sdružení dobrovolných hasičů (výdaje spojené s nasazením záchranných služeb v zaplavených oblastech, refundace mezd dobrovolných hasičů v zaplacených oblastech, další nadstandardní mzdové výdaje spojené s odstraňováním povodňových škod, zejména přesčasy pracovníků záchranných služeb, apod.) - IV</t>
  </si>
  <si>
    <t>B7. Nutné služby externích organizací související s prácemi na likvidaci povodně a nutnými zabezpečovacími pracemi a výdaje spojené s poskytováním informačního SMS servisu - IV</t>
  </si>
  <si>
    <t>B8. Nákup spotřebního materiálu nutného k zabezpečení situace po povodni (zejména lékařský materiál, léky, pytle, písek, apod.) - IV</t>
  </si>
  <si>
    <t>B9. Obnovení výjezdové záchranné služby (oprava budovy, kompenzace (odpisové hodnoty zničeného nebo poškozeného vybavení), oprava sanitního vozu práce spojené se zajištěním dopravní obslužnosti - IV</t>
  </si>
  <si>
    <t>B10. Ozdravné pobyty dětí zasažených povodní (nutné zdravotní pobyty dětí z nejvíce zasažených budov, realizované ihned po povodni, tedy suplující přechodné ubytování dětí po dobu likvidace nejzávažnějších škod) - IV</t>
  </si>
  <si>
    <t>C4. Nutné demolice obecních objektů (např. mateřská školka) - IV</t>
  </si>
  <si>
    <t>Finanční mechanismus EHP/Norska 2009-2014 - IV</t>
  </si>
  <si>
    <t>Povodně 2013 – Čechy – IV</t>
  </si>
  <si>
    <t>Povodně 2013 – Morava – IV </t>
  </si>
  <si>
    <t>Přeshraniční spolupráce ČR – Německo I. – CZ 9804 – IV</t>
  </si>
  <si>
    <t>Přeshraniční spolupráce ČR – Rakousko I. – CZ 9805 – IV</t>
  </si>
  <si>
    <t>Ekonomická a sociální koheze I. – CZ9807 – IV</t>
  </si>
  <si>
    <t>Přeshraniční spolupráce ČR – Polsko I. – CZ 9909 – IV</t>
  </si>
  <si>
    <t>LSIF část V. – CZ 9910 – IV</t>
  </si>
  <si>
    <t>Přeshraniční spolupráce ČR – Rakousko II. – CZ 9912 – IV</t>
  </si>
  <si>
    <t>Přeshraniční spolupráce ČR – Německo II. – CZ 9914 – IV</t>
  </si>
  <si>
    <t>Zemědělství II. – CZ 0005 – IV</t>
  </si>
  <si>
    <t>Životní prostředí II. – CZ 0006 – IV</t>
  </si>
  <si>
    <t>Spravedlnost a vnitro III. – CZ 0007 – IV</t>
  </si>
  <si>
    <t>Ekonomická a sociální soudržnost – CZ 0010 – IV</t>
  </si>
  <si>
    <t>Přeshraniční spolupráce ČR – Německo III. – CZ 0012 – IV</t>
  </si>
  <si>
    <t>Přeshraniční spolupráce ČR – Polsko II. – CZ 0013 – IV</t>
  </si>
  <si>
    <t>Přeshraniční spolupráce ČR – Rakousko III. – CZ 0014 – IV</t>
  </si>
  <si>
    <t>Průmyslové zóny – dodatkové investiční projekty – CZ 0016 – IV</t>
  </si>
  <si>
    <t>Doprava – IV</t>
  </si>
  <si>
    <t>Životní prostředí – IV</t>
  </si>
  <si>
    <t>Technická pomoc – IV</t>
  </si>
  <si>
    <t>Sapard 2000 - Gesce MZe – IV</t>
  </si>
  <si>
    <t>Sapard 2000 - Gesce MMR – IV</t>
  </si>
  <si>
    <t>Životní prostředí I. – CZ 9811 – IV</t>
  </si>
  <si>
    <t>PPF – příprava projektů – CZ 9916 - IV</t>
  </si>
  <si>
    <t>1.1. energetiky k zajištění dodávky tepla, plynu a elektřiny – IV</t>
  </si>
  <si>
    <t>1.2. vodárenství a odpadních vod, včetně produkce pitné vody (vč. čištění studní a dalších zdrojů pitné vody), vodovodního potrubí, kanalizačních systémů, čistíren odpadních vod – IV</t>
  </si>
  <si>
    <t>1.3. dopravy, včetně železničních tratí, silnic, mostů, chodníků, vodních cest, systému vodní dopravy a pražského metra – IV</t>
  </si>
  <si>
    <t>1.4. zdravotnictví k zajištění fungování nemocnic a ostatních zdravotnických zařízení poskytujících základní zdravotní péči obyvatelstvu (vč. očkování) – IV</t>
  </si>
  <si>
    <t>1.5. vzdělávání, včetně veřejně provozovaných základních, středních a vysokých škol a jejich vybavení – IV</t>
  </si>
  <si>
    <t>1.6. poštovních služeb a dočasné obnovy telefonních sítí – IV</t>
  </si>
  <si>
    <t>2.1. dočasné ubytování zajišťující základní životní podmínky – IV</t>
  </si>
  <si>
    <t>2.2. záchranné služby, především požární služba, policie a zdravotnická záchranná služba, včetně hygienických a protiepidemických opatření, organizace dobrovolné práce a obnovení schopnosti poskytovat tyto služby – IV</t>
  </si>
  <si>
    <t>3.1. preventivních infrastruktur, včetně přehrad, hrází, říčních břehů, propustí a zdymadel, ochrana systému uskladnění odpadů, posílení staticky narušených budov, skla a svahů – IV</t>
  </si>
  <si>
    <t>3.2. ochrana kulturního dědictví, včetně obnovy základního fungování (historické budovy a centra měst, sbírky, staré tisky, knihovny, archívy) – IV</t>
  </si>
  <si>
    <t>4. okamžitá sanace katastrofou postižených oblastí a přírodních zón, včetně vysoušení, odstranění bahna, trosek a jiného odpadu, desinfekce, odstranění znečištění půdy a vod a odstranění staticky narušených budov – IV</t>
  </si>
  <si>
    <t>Doprava - CZ 0103 - IV</t>
  </si>
  <si>
    <t>Životní prostředí - CZ 0106 - IV</t>
  </si>
  <si>
    <t>Spravedlnost a vnitro - CZ 0107 - IV</t>
  </si>
  <si>
    <t>Hospodářská a sociální soudržnost - CZ 0110 - IV</t>
  </si>
  <si>
    <t>Přeshraniční spolupráce – Rakousko IV. - CZ 0111 - IV</t>
  </si>
  <si>
    <t>Přeshraniční spolupráce – Německo IV. - CZ 0112 - IV</t>
  </si>
  <si>
    <t>Přeshraniční spolupráce – Polsko III. - CZ 0113 - IV</t>
  </si>
  <si>
    <t>Horizontální program podpory ES v oblasti jaderné bezpečnosti 2001 - CZ 0114 - IV</t>
  </si>
  <si>
    <t>Doprava - CZ 0203 (CZ2002/000-282.03) - IV</t>
  </si>
  <si>
    <t>Vnitřní trh - CZ 0204 (CZ2002/000-282.04) - IV</t>
  </si>
  <si>
    <t>Zemědělství - CZ 0205 (CZ2002/000-282.05) - IV</t>
  </si>
  <si>
    <t>Životní prostředí - CZ 0206 (CZ2002/000-282.06) - IV</t>
  </si>
  <si>
    <t>Spravedlnost a vnitro - CZ 0207 (CZ2002/000-282.07) - IV</t>
  </si>
  <si>
    <t>Zaměstnanost, sociální věci a zdravotnictví - CZ 0208 (CZ2002/000-282.08) - IV</t>
  </si>
  <si>
    <t>Administrativní kapacita - CZ 0209 (CZ2002/000-282.09) - IV</t>
  </si>
  <si>
    <t>Příprava na SF a KF - CZ 0210 (CZ2002/000-582.10) - IV</t>
  </si>
  <si>
    <t>Přeshraniční spolupráce - Rakousko V. - CZ 0211 (CZ2002/000-583.11) - IV</t>
  </si>
  <si>
    <t>Přeshraniční spolupráce - Německo V. - CZ 0212 (CZ2002/000-584.12) - IV</t>
  </si>
  <si>
    <t>Přeshraniční spolupráce - Polsko IV. - CZ 0213 (CZ2002/000-608.13) -IV</t>
  </si>
  <si>
    <t>Povodně - IV</t>
  </si>
  <si>
    <t>Politická kritéria - CZ 0301(CZ2003/004-338.01) - IV</t>
  </si>
  <si>
    <t>Vnitřní trh a ekonomická kritéria- CZ 0302(CZ2003/004-338.02) - IV</t>
  </si>
  <si>
    <t>Zemědělství - CZ 0303(CZ2003/004-338.03) - IV</t>
  </si>
  <si>
    <t>Životní prostředí - CZ 0304(CZ2003/004-338.04) - IV</t>
  </si>
  <si>
    <t>Spravedlnost a vnitro - CZ 0305(CZ2003/004-338.05) - IV</t>
  </si>
  <si>
    <t>Zaměstnanost, sociální věci a zdravotnictví - CZ 0306(CZ2003/004-338.06) - IV</t>
  </si>
  <si>
    <t>Administrativní kapacita - CZ 0307(CZ2003/004-338.07) - IV</t>
  </si>
  <si>
    <t>Ekonomická a sociální soudržnost - CZ 0308NP1(CZ2003/004-338.08) - IV</t>
  </si>
  <si>
    <t>Ekonomická a sociální soudržnost - CZ 0308NP2(CZ2003/005-601.08) - IV</t>
  </si>
  <si>
    <t>Přeshraniční spolupráce - Rakousko VI - CZ 0379- (CZ2003/005-079) - IV</t>
  </si>
  <si>
    <t>Přeshraniční spolupráce - Německo VI. - CZ 0395- (CZ2003/005-095) - IV</t>
  </si>
  <si>
    <t>Přeshraniční spolupráce - Polsko V. - CZ 0377- (CZ2003/005-077) - IV</t>
  </si>
  <si>
    <t>CZ.04.1.01 Operační program Průmysl a podnikání¨- IV</t>
  </si>
  <si>
    <t>CZ.04.1.22 Operační program Infrastruktura - doprava - IV</t>
  </si>
  <si>
    <t>CZ.04.1.21 Operační program Infrastruktura - životní prostředí - IV</t>
  </si>
  <si>
    <t>CZ.04.1.03 Operační program Rozvoj lidských zdrojů - IV</t>
  </si>
  <si>
    <t>CZ.04.1.04 Operační program Rozvoj venkova a multifunkční zemědělství - IV</t>
  </si>
  <si>
    <t>CZ.04.1.05 Společný regionální operační program (SROP) - IV</t>
  </si>
  <si>
    <t>CZ.04.2.06 Jednotný programový dokument JPD Cíl 2 Praha - IV</t>
  </si>
  <si>
    <t>CZ.04.3.07 Jednotný programový dokument JPD Cíl 3 regionu hl.m.Praha - IV</t>
  </si>
  <si>
    <t>CZ.04.4.84 Interreg III A ČR - Slovensko - IV</t>
  </si>
  <si>
    <t>CZ.04.4.85 Interreg III A ČR - Polsko - IV</t>
  </si>
  <si>
    <t>CZ.04.4.81 Interreg III A ČR - Sasko - IV</t>
  </si>
  <si>
    <t>CZ.04.4.82 Interreg III A ČR - Bavorsko - IV</t>
  </si>
  <si>
    <t>CZ.04.4.09 Iniciativa Equal - IV</t>
  </si>
  <si>
    <t>2004/CZ/16/C/PT Fond soudržnosti sektor doprava - IV</t>
  </si>
  <si>
    <t>2004/CZ/16/C/PE Fond soudržnosti sektor životní prostředí - IV</t>
  </si>
  <si>
    <t>2004/CZ/16/C/PA Fond soudržnosti sektor Řídící orgán - IV</t>
  </si>
  <si>
    <t>CZ.04.4.83 Interreg III A ČR - Rakousko - IV</t>
  </si>
  <si>
    <t xml:space="preserve"> Transition 2004 - IV</t>
  </si>
  <si>
    <t xml:space="preserve"> Transition 2005 - IV</t>
  </si>
  <si>
    <t xml:space="preserve"> Transition 2006 - IV</t>
  </si>
  <si>
    <t xml:space="preserve">Finanční mechanismus EHP/Norska - IV </t>
  </si>
  <si>
    <t>CZ.3.22 Operační program Přeshraniční spolupráce ČR – Polsko – IV</t>
  </si>
  <si>
    <t>Program švýcarsko-české spolupráce - IV</t>
  </si>
  <si>
    <t>EHP-Norsko II – IV</t>
  </si>
  <si>
    <t>Účelové prostředky na sesuvy zemní hmoty</t>
  </si>
  <si>
    <t>Dotace na odstraňování povodňových škod - místní komunikace</t>
  </si>
  <si>
    <t>Dotace na odstraňování povodňových škod - technická infrastruktura a vodohospodářská zařízení</t>
  </si>
  <si>
    <t>Neinvestiční dotace obcím</t>
  </si>
  <si>
    <t>Neinvestiční dotace krajům</t>
  </si>
  <si>
    <t>Neinvestiční dotace dobrovolným svazkům obcí</t>
  </si>
  <si>
    <t>Investiční dotace obcím</t>
  </si>
  <si>
    <t>Investiční dotace krajům</t>
  </si>
  <si>
    <t>Akce financované z rozhodnutí Poslanecké sněmovny Parlamentu a vlády ČR - program č. 298220 - NIV</t>
  </si>
  <si>
    <t>Pořízení projektové dokumentace - Brdsko - NIV</t>
  </si>
  <si>
    <t>Povodně 2009 - Záchranné práce</t>
  </si>
  <si>
    <t>Povodně 2010 - Záchranné práce</t>
  </si>
  <si>
    <t>Sčítání lidu, domů a bytů v roce 2011</t>
  </si>
  <si>
    <t>Povodně 2010 - SDHO</t>
  </si>
  <si>
    <t>Dotace na pomocný analytický přehled</t>
  </si>
  <si>
    <t>Účelové dotace na výdaje spojené s volbou prezidenta ČR</t>
  </si>
  <si>
    <t>Likvidace požáru lesního porostu v Bzenci</t>
  </si>
  <si>
    <t>Společné volby do Evropského parlamentu a Parlamentu České republiky</t>
  </si>
  <si>
    <t>Povodně 2013</t>
  </si>
  <si>
    <t>Povodně 2014</t>
  </si>
  <si>
    <t>Krizové situace 2014 (mimo povodní)</t>
  </si>
  <si>
    <t>Krizové situace 2015 (mimo povodní)</t>
  </si>
  <si>
    <t>Účelová dotace na školy a školská zařízení zřizovaných obcemi - program č. 398886</t>
  </si>
  <si>
    <t>Účelové dotace na zajištění pobytu uprchlíků a krajanů</t>
  </si>
  <si>
    <t>Účelové dotace na místní komunikace - program č. 398881</t>
  </si>
  <si>
    <t>Účelové dotace na řešení mimořádných událostí</t>
  </si>
  <si>
    <t>Dotace na poštovné a poukázečné v rámci systému SSP</t>
  </si>
  <si>
    <t>Systémové dotace na protiradonová opatření</t>
  </si>
  <si>
    <t>Účelová dotace na dopravní obslužnost</t>
  </si>
  <si>
    <t>Účelové investiční dotace na řešení havarijních problémů ve zdravotnictví</t>
  </si>
  <si>
    <t>Účelové dotace na likvidaci ztrát a nákladů vzniklých morem prasat</t>
  </si>
  <si>
    <t>Účelové dotace na projekty sociální prevence a prevence kriminality</t>
  </si>
  <si>
    <t>Účelové investiční dotace obcím</t>
  </si>
  <si>
    <t>Účelové dotace na výdaje spojené s volbami do Parlamentu České republiky</t>
  </si>
  <si>
    <t>Účelové dotace na sociální dávky</t>
  </si>
  <si>
    <t>Účelové dotace na výdaje spojené s volbami do zastupitelstev v obcích</t>
  </si>
  <si>
    <t>Účelové dotace na pozemkové úpravy podle vyhlášky MF ČR č.98/1992 Sb.</t>
  </si>
  <si>
    <t>Dotace na dopracování územních plánů</t>
  </si>
  <si>
    <t>Dotace na povodňové škody na majetku obcí</t>
  </si>
  <si>
    <t>Pojištění motorových vozidel požární techniky obcí</t>
  </si>
  <si>
    <t>Účelové neinvestiční dotace obcím z finančního vypořádání</t>
  </si>
  <si>
    <t>Neinvestiční dotace na řešení následků nemocí včelstev</t>
  </si>
  <si>
    <t>Účelové neinvestiční dotace obcím</t>
  </si>
  <si>
    <t>Neinvestiční půjčky a návratné finanční výpomoci územním rozpočtům</t>
  </si>
  <si>
    <t>Neinvestiční půjčky obcím na řešení nepříznivé finanční situace občanů v důsledku nevyplacených mezd jejich zaměstnavatelů</t>
  </si>
  <si>
    <t>Účelové dotace na výdaje spojené s volbami do zastupitelstev v krajích</t>
  </si>
  <si>
    <t>Podpora projektů Integrace romské komunity</t>
  </si>
  <si>
    <t>Převod některých správních činností od Policie ČR na OkÚ a mag. města</t>
  </si>
  <si>
    <t>Příspěvek na řešení restitucí budov obecních úřadů</t>
  </si>
  <si>
    <t>Účelové neinvestiční dotace krajům</t>
  </si>
  <si>
    <t>Účelové dotace na výdaje spojené se společnými volbami do Parlamentu ČR a zastupitelstev v obcích</t>
  </si>
  <si>
    <t>Účelové dotace na výdaje spojené se společnými volbami do Senátu a zastupitelstev krajů</t>
  </si>
  <si>
    <t>Návratné finanční výpomoci krajům</t>
  </si>
  <si>
    <t>Státní příspěvek pro zřizovatele zařízení pro děti vyžadující okamžitou pomoc</t>
  </si>
  <si>
    <t>Sociálně právní ochrana dětí u obcí</t>
  </si>
  <si>
    <t>Příspěvky na úhradu nákladů spojených se zabezpečením přípravy pro výkon státní správy</t>
  </si>
  <si>
    <t>Povodně 2002 - Záchranné práce</t>
  </si>
  <si>
    <t>Povodně 2002 - Strategie obnovy území</t>
  </si>
  <si>
    <t>Povodně 2002 - Mimořádné sociální dávky</t>
  </si>
  <si>
    <t>Náhrady škod způsobených vybranými zvláště chráněnými živočichy</t>
  </si>
  <si>
    <t>Účelové dotace na výdaje spojené s přípravou a konáním referenda o přistoupení ČR k Evropské unii</t>
  </si>
  <si>
    <t>Účelové dotace krajům na likvidaci léčiv</t>
  </si>
  <si>
    <t>Předcházení sociálního vyloučení v romských komunitách a odstraňování jeho důsledků</t>
  </si>
  <si>
    <t>Účelové dotace krajům - TBC</t>
  </si>
  <si>
    <t>Účelové dotace na výdaje spojené s přípravou a konáním voleb do Evropského Parlamentu</t>
  </si>
  <si>
    <t>Neinvestiční dotace krajům a obcím na úhradu závazků zdravotnických zařízení zřízených bývalými okresními úřady</t>
  </si>
  <si>
    <t>Financování běžného rozvoje územních samosprávných celků</t>
  </si>
  <si>
    <t>Podpora rozvoje a obnovy materiálně technické základny regionálního školství - program č. 298210 - NIV</t>
  </si>
  <si>
    <t>Podpora rozvoje a obnovy regionální infrastruktury - program č. 298110 - NIV</t>
  </si>
  <si>
    <t>Akce financované z rozhodnutí Poslanecké sněmovny Parlamentu - podprogram č. 298112 - NIV</t>
  </si>
  <si>
    <t>Účelové neinvestiční dotace dobrovolným svazkům obcí</t>
  </si>
  <si>
    <t>Výstavba a technická obnova školských zařízení v působnosti OkÚ a obcí - program č. 398210</t>
  </si>
  <si>
    <t>Výstavba a technická obnova staveb komunálního hospodářství - program č. 398320</t>
  </si>
  <si>
    <t>Účelové investiční dotace obcím z finančního vypořádání</t>
  </si>
  <si>
    <t>Technická opatření v pásmech ochrany vod - program č. 398020</t>
  </si>
  <si>
    <t>Rekonstrukce Národního divadla moravskoslezského Ostrava</t>
  </si>
  <si>
    <t>Dostavba divadla Šumperk</t>
  </si>
  <si>
    <t>Výstavba víceúčelového sportovního zařízení Bublava</t>
  </si>
  <si>
    <t>Rekonstrukce divadla Slaný</t>
  </si>
  <si>
    <t>Celková obnova historického jádra města Holešova</t>
  </si>
  <si>
    <t>Rekonstrukce gymnázia Slaný</t>
  </si>
  <si>
    <t>Rekonstrukce správního centra města Havířova</t>
  </si>
  <si>
    <t>Investiční půjčky a návratné finanční výpomoci územním rozpočtům</t>
  </si>
  <si>
    <t>Centrála OSN v České republice</t>
  </si>
  <si>
    <t>Podpora rozvoje a obnovy regionální infrastruktury – program č. 298110 - IV</t>
  </si>
  <si>
    <t>Podpora rozvoje a obnovy materiálně technické základny regionálního školství – program č. 298210</t>
  </si>
  <si>
    <t>Dotace poskytované obcím – program č. 398810</t>
  </si>
  <si>
    <t>Podpora rozvoje MTZ sportovních organizací - program č. 398510</t>
  </si>
  <si>
    <t>Dopravní stavby a navazující investice v městské infrastruktuře - MS 2004</t>
  </si>
  <si>
    <t>Investiční dotace krajům a obcím na úhradu závazků zdravotnických zařízení zřízených bývalými okresními úřady</t>
  </si>
  <si>
    <t>Financování investičního rozvoje územních samosprávných celků</t>
  </si>
  <si>
    <t>Mistrovství světa v klasickém lyžování 2009 - IV</t>
  </si>
  <si>
    <t>Akce financované z rozhodnutí Poslanecké sněmovny Parlamentu - podprogram č. 298112 - IV</t>
  </si>
  <si>
    <t>Akce financované z rozhodnutí Poslanecké sněmovny Parlamentu a vlády ČR - program č. 298220 - IV</t>
  </si>
  <si>
    <t>Výkupy pozemků pod krajskými komunikacemi</t>
  </si>
  <si>
    <t>Pořízení projektové dokumentace - Brdsko - IV</t>
  </si>
  <si>
    <t>OrgC</t>
  </si>
  <si>
    <t>ČSOB-úroky,poplatky</t>
  </si>
  <si>
    <t>ČS-úroky z prémiového vkladu</t>
  </si>
  <si>
    <t>půjčka-soc.fond</t>
  </si>
  <si>
    <t>půjčka-soc. fond</t>
  </si>
  <si>
    <t>pújčka-soc. fond</t>
  </si>
  <si>
    <t>půjčka soc. fond</t>
  </si>
  <si>
    <t>soc.fond-půjčka</t>
  </si>
  <si>
    <t>půjčka- soc. fond</t>
  </si>
  <si>
    <t>půjčka-soc-fond</t>
  </si>
  <si>
    <t>půjčka-soc.-fond</t>
  </si>
  <si>
    <t>půjčka -soc.fond</t>
  </si>
  <si>
    <t>půjčka - soc. fond</t>
  </si>
  <si>
    <t>Fyzická osoba nepodnikající</t>
  </si>
  <si>
    <t>jazyk.stránky-vratka FV 2007</t>
  </si>
  <si>
    <t>Vnitřní správa-maj.</t>
  </si>
  <si>
    <t>Kancelář starosty-maj.</t>
  </si>
  <si>
    <t>Domovní čísla materiál</t>
  </si>
  <si>
    <t>Známky pro psy materiál</t>
  </si>
  <si>
    <t>Majetek CO</t>
  </si>
  <si>
    <t>Požární ochrana majetek</t>
  </si>
  <si>
    <t>Městská policie-maj.</t>
  </si>
  <si>
    <t>Ceniny-kolky majetek</t>
  </si>
  <si>
    <t>Územní a region.rozvoj</t>
  </si>
  <si>
    <t>Odbor investic</t>
  </si>
  <si>
    <t>Odbor investic Technické odd.</t>
  </si>
  <si>
    <t>Odbor investic TO Dětská hřišt</t>
  </si>
  <si>
    <t>Odbor kultury-maj.</t>
  </si>
  <si>
    <t>Videofilmstudio-maj.</t>
  </si>
  <si>
    <t>SPOZ-maj.</t>
  </si>
  <si>
    <t>Životní prostředí-maj.</t>
  </si>
  <si>
    <t>Odbor památkové péče-maj.</t>
  </si>
  <si>
    <t>Pronájem ZŠ</t>
  </si>
  <si>
    <t>Nemocnice s.r.o.,majetek</t>
  </si>
  <si>
    <t>Propagace - sklad IC - KA 37</t>
  </si>
  <si>
    <t>Pečovatelská služba majetek</t>
  </si>
  <si>
    <t>Městská knihovna majetek</t>
  </si>
  <si>
    <t>Liga pro ochranu. zvířat materiál</t>
  </si>
  <si>
    <t>Klub OAZA materiál</t>
  </si>
  <si>
    <t>Galerie F..Jeneweina. - závazky.r.2002</t>
  </si>
  <si>
    <t>Průvod.služba-maj.</t>
  </si>
  <si>
    <t>MŠ Benešova 1 majetek</t>
  </si>
  <si>
    <t>MŠ Sedlec majetek</t>
  </si>
  <si>
    <t>MŠ Kaňk majetek</t>
  </si>
  <si>
    <t>MŠ Dačického majetek</t>
  </si>
  <si>
    <t>MŠ Žižkov majetek</t>
  </si>
  <si>
    <t>MŠ Malín majetek</t>
  </si>
  <si>
    <t>MŠ 17.listopadu majetek</t>
  </si>
  <si>
    <t>MŠ Benešova 149 I. majetek</t>
  </si>
  <si>
    <t>MŠ Benešova 149 II. majetek</t>
  </si>
  <si>
    <t>Klub důchodců-maj.</t>
  </si>
  <si>
    <t>DM TGM</t>
  </si>
  <si>
    <t>ZŠ Kamenná stezka majetek</t>
  </si>
  <si>
    <t>ZŠ TGM majetek</t>
  </si>
  <si>
    <t>ZŠ Žižkov majetek</t>
  </si>
  <si>
    <t>ZŠ Kaňk majetek</t>
  </si>
  <si>
    <t>ZŠ Malín majetek</t>
  </si>
  <si>
    <t>Jeneweinova galerie majetek</t>
  </si>
  <si>
    <t>Komunitní plán-materiál</t>
  </si>
  <si>
    <t>DM ZŠ Kamenná stezka</t>
  </si>
  <si>
    <t>DM ZŠ Žižkov</t>
  </si>
  <si>
    <t>Nemocnice majetek</t>
  </si>
  <si>
    <t>Rozvoj města-maj.</t>
  </si>
  <si>
    <t>DM ZŠ J.Palacha majetek</t>
  </si>
  <si>
    <t>Stanice pro psy-maj.</t>
  </si>
  <si>
    <t>ŠJ 17.listopadu majetek</t>
  </si>
  <si>
    <t>ŠJ TGM majetek</t>
  </si>
  <si>
    <t>ŠJ Kremnická majetek</t>
  </si>
  <si>
    <t>ŠJ Malín majetek</t>
  </si>
  <si>
    <t>ŠJ Benešova majetek</t>
  </si>
  <si>
    <t>ŠJ J.Palacha majetek</t>
  </si>
  <si>
    <t>ŠJ MŠ Žižkov majetek</t>
  </si>
  <si>
    <t>ZUŠ majetek</t>
  </si>
  <si>
    <t>DM Malín</t>
  </si>
  <si>
    <t>DM Kaňk</t>
  </si>
  <si>
    <t>ZŠ J.Palacha majetek</t>
  </si>
  <si>
    <t>Tylovo divadlo majetek</t>
  </si>
  <si>
    <t>Kino majetek</t>
  </si>
  <si>
    <t>Majetkový odbor-maj.</t>
  </si>
  <si>
    <t>Sportovní hala Klimeška</t>
  </si>
  <si>
    <t>Dětská hřiště, mobiliář</t>
  </si>
  <si>
    <t>Majetkový odbor - Lorec KD</t>
  </si>
  <si>
    <t>Půjčka,Dobiášová-Nemocnice</t>
  </si>
  <si>
    <t>udržitelnost projektu 1123</t>
  </si>
  <si>
    <t>rok 1997</t>
  </si>
  <si>
    <t>rok 1998</t>
  </si>
  <si>
    <t>rok1999</t>
  </si>
  <si>
    <t>rok 2000</t>
  </si>
  <si>
    <t>Účet 933 schodek z r.2001</t>
  </si>
  <si>
    <t>Účet 933 schodek z r. 2002</t>
  </si>
  <si>
    <t>Účet 933 schodek r.2003</t>
  </si>
  <si>
    <t>rok 2004</t>
  </si>
  <si>
    <t>Ú.933-zúčt.příj.a výdajů r.05</t>
  </si>
  <si>
    <t>Ú.933-zúčt.příj.a výdajů r.06</t>
  </si>
  <si>
    <t>Ú.933-zúčt.příj.a výdajů r.07</t>
  </si>
  <si>
    <t>ú.933-zúčt.příj.a výdajů r. 08</t>
  </si>
  <si>
    <t>rok 2009</t>
  </si>
  <si>
    <t>Zálohy na byty, nebyty OSM-rok</t>
  </si>
  <si>
    <t>Stavební pozemky-ostatní ploch</t>
  </si>
  <si>
    <t>Zahrada pozemky</t>
  </si>
  <si>
    <t>Vodní plocha pozemky</t>
  </si>
  <si>
    <t>Trvalý trav.porost pozemky</t>
  </si>
  <si>
    <t>Zahrada VB pozemky</t>
  </si>
  <si>
    <t>Trvalý travní porost VB pozemk</t>
  </si>
  <si>
    <t>Zastavěná plocha</t>
  </si>
  <si>
    <t>Ostatní plocha pozemky</t>
  </si>
  <si>
    <t>Sídliště - bourání skleníků</t>
  </si>
  <si>
    <t>Bourání komínu</t>
  </si>
  <si>
    <t>Bourání vodojemu Sedlec</t>
  </si>
  <si>
    <t>Skleníky v areálu hřbitova</t>
  </si>
  <si>
    <t>Znalecké posudky</t>
  </si>
  <si>
    <t>Mapy, plány</t>
  </si>
  <si>
    <t>Rybník Bylany</t>
  </si>
  <si>
    <t>Rybník Vidlák</t>
  </si>
  <si>
    <t>Dačického dům - mimo projekt</t>
  </si>
  <si>
    <t>Václavské náměstí 182</t>
  </si>
  <si>
    <t>Restaurace U Havířů č.p. 154;155</t>
  </si>
  <si>
    <t>Komenského 41 (dům Dačického)</t>
  </si>
  <si>
    <t>Komenského 42</t>
  </si>
  <si>
    <t>Čáslavská 1-3</t>
  </si>
  <si>
    <t>Václavské náměstí 181</t>
  </si>
  <si>
    <t>Pirknerovo náměstí</t>
  </si>
  <si>
    <t>Šultysova 154</t>
  </si>
  <si>
    <t xml:space="preserve">ulice Nádražní </t>
  </si>
  <si>
    <t>Palackého nám.379</t>
  </si>
  <si>
    <t>Libušina 380</t>
  </si>
  <si>
    <t>Palackého nám. 377</t>
  </si>
  <si>
    <t>Rutharská 13</t>
  </si>
  <si>
    <t>Pod Hrádkem 41;42</t>
  </si>
  <si>
    <t>Pomník padlých Kaňk</t>
  </si>
  <si>
    <t>Hřtbitov Všech svatých - Česká ulice</t>
  </si>
  <si>
    <t>Vojtěšský akvadukt - Bylanka</t>
  </si>
  <si>
    <t>Šultysova 167</t>
  </si>
  <si>
    <t>Šultysova 170</t>
  </si>
  <si>
    <t>Václavské náměstí 183</t>
  </si>
  <si>
    <t>Česká 242</t>
  </si>
  <si>
    <t>Opěrná zeď u sv.Barbory</t>
  </si>
  <si>
    <t>Jánské náměstí 540</t>
  </si>
  <si>
    <t>Husova 145</t>
  </si>
  <si>
    <t>Husova 107</t>
  </si>
  <si>
    <t>Šultysova 165</t>
  </si>
  <si>
    <t>Kaňk 1</t>
  </si>
  <si>
    <t>Kaplička nad Lorcem</t>
  </si>
  <si>
    <t>Kaplička Vocelova ulice</t>
  </si>
  <si>
    <t>Kaplička Žižkova brána</t>
  </si>
  <si>
    <t>Preghaus</t>
  </si>
  <si>
    <t>Kaplička Kaňk</t>
  </si>
  <si>
    <t>Kaplička Česká č.103</t>
  </si>
  <si>
    <t>Kostel Sv. Jakuba</t>
  </si>
  <si>
    <t>Kaple Božího těla</t>
  </si>
  <si>
    <t>Kostnice Sedlec</t>
  </si>
  <si>
    <t>Hrádek (Barborská 28)</t>
  </si>
  <si>
    <t>Kostel Sv.Jana Nepomuckého</t>
  </si>
  <si>
    <t>Kostel Sv. Barbory</t>
  </si>
  <si>
    <t>Historické jádro</t>
  </si>
  <si>
    <t>Kamenný dům</t>
  </si>
  <si>
    <t>Morový sloup</t>
  </si>
  <si>
    <t>Arciděkanství 1 opěrná zeď</t>
  </si>
  <si>
    <t>Most přes Bylanku</t>
  </si>
  <si>
    <t>Arciděkanství 1 budova</t>
  </si>
  <si>
    <t>Hrádek ohradní zeď</t>
  </si>
  <si>
    <t>Gotická kašna</t>
  </si>
  <si>
    <t>Kostel Matky Boží</t>
  </si>
  <si>
    <t>Ohradní zeď na Valech</t>
  </si>
  <si>
    <t>Ohradní zeď Dačického nám.č.p.16</t>
  </si>
  <si>
    <t>Kamenná kašna</t>
  </si>
  <si>
    <t>Kaplička Na Rovinách</t>
  </si>
  <si>
    <t>Pomník Kalvárie</t>
  </si>
  <si>
    <t>Socha Panny Marie</t>
  </si>
  <si>
    <t>Palackého nám.č. 155</t>
  </si>
  <si>
    <t>Kaplička - Kouřimská ulice</t>
  </si>
  <si>
    <t>Socha mouřenína a anděla</t>
  </si>
  <si>
    <t>Hřbitov Nejsvětější Trojice</t>
  </si>
  <si>
    <t>U Všech svatých</t>
  </si>
  <si>
    <t>Kouřimská zeď</t>
  </si>
  <si>
    <t>Opěrná zeď u kostela sv. Jakub</t>
  </si>
  <si>
    <t>Branka Hrádek</t>
  </si>
  <si>
    <t>Kašna - Palackého náměstí</t>
  </si>
  <si>
    <t>Obnova kamenného schodiště - Vlašský dvůr</t>
  </si>
  <si>
    <t>obnova dveří-Vl.dvůr</t>
  </si>
  <si>
    <t>Vl.dvůr - mozaikové dlaždice</t>
  </si>
  <si>
    <t>Vl.dvůr - elektrorozvody</t>
  </si>
  <si>
    <t>Vl.dvůr - revitalizace</t>
  </si>
  <si>
    <t>Vladislavova 376</t>
  </si>
  <si>
    <t>Osvětlení Jezuitské koleje</t>
  </si>
  <si>
    <t>Socha sv.Václava a okolí</t>
  </si>
  <si>
    <t>Sochy u Jezuitské koleje</t>
  </si>
  <si>
    <t>Socha sv.J.Křtitele Jánské náměstí</t>
  </si>
  <si>
    <t>Malby Vlašský dvůr</t>
  </si>
  <si>
    <t>Srubová místnost Hrádek</t>
  </si>
  <si>
    <t>Lávka v Hutích a socha světce</t>
  </si>
  <si>
    <t>Socha J. Nepomuckého</t>
  </si>
  <si>
    <t>Strop Vlašský dvůr chodba. starost</t>
  </si>
  <si>
    <t>Obřad. síň Vlašský dvůr</t>
  </si>
  <si>
    <t>Brána Jungmanovo náměstí</t>
  </si>
  <si>
    <t>Socha sv. Judy Tadeaše</t>
  </si>
  <si>
    <t>Pomník K. H. Borovského</t>
  </si>
  <si>
    <t>Socha sv. Šebestiána</t>
  </si>
  <si>
    <t>Socha sv. Bernarda</t>
  </si>
  <si>
    <t>Socha sv. Anny</t>
  </si>
  <si>
    <t>Váza brána pivovaru - kopie</t>
  </si>
  <si>
    <t>Novomlýnská branka s kapličkou</t>
  </si>
  <si>
    <t>Reliéf Jaroslava Vrchlického</t>
  </si>
  <si>
    <t>Pomník M.Dačického</t>
  </si>
  <si>
    <t>Socha sv.Barbory</t>
  </si>
  <si>
    <t>Wagenknechtův mlýn</t>
  </si>
  <si>
    <t>Pilon v Hutích</t>
  </si>
  <si>
    <t>Vyhlídka na pozemku 8/2 Kutná Hora</t>
  </si>
  <si>
    <t>okolí Jezuitské koleje</t>
  </si>
  <si>
    <t>Pomník Národního odboje</t>
  </si>
  <si>
    <t>Budova Radnická 178</t>
  </si>
  <si>
    <t>Budova Benešova</t>
  </si>
  <si>
    <t>Čáslav-energie a služby</t>
  </si>
  <si>
    <t>Hornická (vila)-energie a služ</t>
  </si>
  <si>
    <t>Komenského-energie a služby</t>
  </si>
  <si>
    <t>SO Archiv energie a služby</t>
  </si>
  <si>
    <t>Havlíčkovo nám. 87  - MP</t>
  </si>
  <si>
    <t>Hasičská zbrojnice Malín</t>
  </si>
  <si>
    <t>Azylový dům</t>
  </si>
  <si>
    <t>Studentů 145 - bývalá školní družina</t>
  </si>
  <si>
    <t>Dolní čp. 186 (bývalý výměník tepla)</t>
  </si>
  <si>
    <t>Kaňk 243</t>
  </si>
  <si>
    <t>Zachova 368</t>
  </si>
  <si>
    <t>KD Lorec - pronájem s DPH</t>
  </si>
  <si>
    <t>Lorec 57 - ubytovna - s DPH</t>
  </si>
  <si>
    <t>Spolkový dům</t>
  </si>
  <si>
    <t>Národního odboje 59</t>
  </si>
  <si>
    <t>Kremnická 40</t>
  </si>
  <si>
    <t>Poděbradova 302</t>
  </si>
  <si>
    <t>Masarykova 302</t>
  </si>
  <si>
    <t>12 b.j. Puškinská</t>
  </si>
  <si>
    <t>24 b.j. Benešova</t>
  </si>
  <si>
    <t>ZŠ Sedlec přestavba</t>
  </si>
  <si>
    <t>10 b.j. Nemocnice</t>
  </si>
  <si>
    <t>Dům ul. Sportovců 9</t>
  </si>
  <si>
    <t>Sedlecká 652</t>
  </si>
  <si>
    <t>Uhelná 555</t>
  </si>
  <si>
    <t>Tylova 388</t>
  </si>
  <si>
    <t>Vojtěšská 31</t>
  </si>
  <si>
    <t>Mincířská 107</t>
  </si>
  <si>
    <t>Uhelná 599</t>
  </si>
  <si>
    <t>Školní 400</t>
  </si>
  <si>
    <t>Benešova 402</t>
  </si>
  <si>
    <t>Národního odboje 56</t>
  </si>
  <si>
    <t>Vladislavova 373</t>
  </si>
  <si>
    <t>Potoční ul.</t>
  </si>
  <si>
    <t>Vocelova ul.</t>
  </si>
  <si>
    <t>Sedlecká 670</t>
  </si>
  <si>
    <t>U Lesa 987</t>
  </si>
  <si>
    <t>Sedlecká  670</t>
  </si>
  <si>
    <t>Česká 793 (smuteční síň)</t>
  </si>
  <si>
    <t>Výměník J.Palacha č.p.167</t>
  </si>
  <si>
    <t>Benešova ul.</t>
  </si>
  <si>
    <t>Puškinská I.</t>
  </si>
  <si>
    <t>Puškinská II.</t>
  </si>
  <si>
    <t>Puškinská 651-653</t>
  </si>
  <si>
    <t>Masarykova</t>
  </si>
  <si>
    <t xml:space="preserve">MŠ Sedlec </t>
  </si>
  <si>
    <t>Příspěvek. na péči-vratka FV 2007</t>
  </si>
  <si>
    <t>Soc.dávky HN,ZP-vratka FV 2007</t>
  </si>
  <si>
    <t>Barborská 30 rozvoj města</t>
  </si>
  <si>
    <t>Barborská 34</t>
  </si>
  <si>
    <t>Puškinská 48 b.j.</t>
  </si>
  <si>
    <t xml:space="preserve">Zámecká 167 </t>
  </si>
  <si>
    <t>Trebišovská ubytovna</t>
  </si>
  <si>
    <t>Ubytovna OKÁL Sedlec,Vítězná</t>
  </si>
  <si>
    <t>Ubytovna Čáslavská 28</t>
  </si>
  <si>
    <t>Ubytovna VHS</t>
  </si>
  <si>
    <t>Táborská 71 - kan.přípojky</t>
  </si>
  <si>
    <t>Benešova 468,9</t>
  </si>
  <si>
    <t>Benešova 632-638</t>
  </si>
  <si>
    <t>Holobyty ČSAD</t>
  </si>
  <si>
    <t>Bytový dům Malín</t>
  </si>
  <si>
    <t>Areál kasáren na Žižkově</t>
  </si>
  <si>
    <t>Dotace Kazachstán-vratka FV 07</t>
  </si>
  <si>
    <t>Anenské náměstí</t>
  </si>
  <si>
    <r>
      <t xml:space="preserve">Areál </t>
    </r>
    <r>
      <rPr>
        <sz val="11"/>
        <color indexed="8"/>
        <rFont val="Calibri"/>
        <family val="2"/>
        <charset val="238"/>
      </rPr>
      <t>cihelny</t>
    </r>
  </si>
  <si>
    <t>Areál bývalého ČSAD - demolice</t>
  </si>
  <si>
    <t>Hřiště Žižkov</t>
  </si>
  <si>
    <t>Rekonstrukce hřiště Sparta ČKD</t>
  </si>
  <si>
    <t>Hřiště TGM oprava</t>
  </si>
  <si>
    <t>Atletický areál u BIOS</t>
  </si>
  <si>
    <t>Hřiště Malín</t>
  </si>
  <si>
    <t>Sportovní hala u ZŠ Kamenná Stezka</t>
  </si>
  <si>
    <t>Dětské hřiště Sedlec</t>
  </si>
  <si>
    <t>Dětské hřiště Seifertovy sady</t>
  </si>
  <si>
    <t>Dětské hriště Neškaredice</t>
  </si>
  <si>
    <t>Dětské hřiště Malín</t>
  </si>
  <si>
    <t>Dětské hřiště Perštejnec</t>
  </si>
  <si>
    <t>Hřiště (bývalý objekt ČSAD vedle ZS)</t>
  </si>
  <si>
    <t>dětské hřiště Benešova</t>
  </si>
  <si>
    <t>Dětské hřiště Trebišovská</t>
  </si>
  <si>
    <t>ZS - využití sporotoviště (sportovní účely)</t>
  </si>
  <si>
    <t>ZS - pronájem ubytovny</t>
  </si>
  <si>
    <t>ZS - využití sporotoviště (nesportovní účely)</t>
  </si>
  <si>
    <t>ZS-prodejna-nájem</t>
  </si>
  <si>
    <t>ZS-kiosek-nájem</t>
  </si>
  <si>
    <t>ZS-reklamní plochy</t>
  </si>
  <si>
    <t>ZS tribuny</t>
  </si>
  <si>
    <t>Amfiteatr Klimeška</t>
  </si>
  <si>
    <t>Parkoviště Klimeška</t>
  </si>
  <si>
    <t>Venkovní bazény Klimeška - Plovárna</t>
  </si>
  <si>
    <t>Terénní úpravy Klimeška</t>
  </si>
  <si>
    <t>Stadion Lorec</t>
  </si>
  <si>
    <t>Plavecký bazén</t>
  </si>
  <si>
    <t>Hřiště J.Palacha</t>
  </si>
  <si>
    <t>Hřiště J.Palacha-odbíjená</t>
  </si>
  <si>
    <t>Hala Bios</t>
  </si>
  <si>
    <t>Středisko Hrabětice</t>
  </si>
  <si>
    <t>Sokolovna Malín - nová</t>
  </si>
  <si>
    <t>Čížkova skála, "prachárna"</t>
  </si>
  <si>
    <t>Gymnázium J.Ortena</t>
  </si>
  <si>
    <t xml:space="preserve">MŠ Dačického </t>
  </si>
  <si>
    <t>MŠ Benešova 7</t>
  </si>
  <si>
    <t>MŠ Benešova I.</t>
  </si>
  <si>
    <t>MŠ 17.listopadu Sedmikráska</t>
  </si>
  <si>
    <t>MŠ Sedlec</t>
  </si>
  <si>
    <t>MŠ Benešova II.</t>
  </si>
  <si>
    <t xml:space="preserve">MŠ Malín </t>
  </si>
  <si>
    <t xml:space="preserve">MŠ Kaňk </t>
  </si>
  <si>
    <t>ZŠ Žižkov</t>
  </si>
  <si>
    <t>ZŠ Kaňk-rekonstrukce topení</t>
  </si>
  <si>
    <t>Vyšší odborná škola, Střední průmyslová škola a Jazyková škola s právem státní jazykové zkoušky KH</t>
  </si>
  <si>
    <t>EPC ŠJ J.Palacha</t>
  </si>
  <si>
    <t>Dům dětí a mládeže - Dominik</t>
  </si>
  <si>
    <t>ZUŠ KH</t>
  </si>
  <si>
    <t>Přestavba ZŠ J.A.Komenského na MK</t>
  </si>
  <si>
    <t>Dům dětí a mládeže - Kremnická 32 (dům)</t>
  </si>
  <si>
    <t>Dům dětí a mládeže, Kutná Hora, Kremnická 32
Kutná Hora, Žižkov, Kremnická 32/8</t>
  </si>
  <si>
    <t>EPC ZŠ J. Palacha</t>
  </si>
  <si>
    <t>Základní škola a Praktická škola KH</t>
  </si>
  <si>
    <t>Výchovný ústav, Kutná Hora</t>
  </si>
  <si>
    <t xml:space="preserve">Turistická oblast Kutnohorsko a Kolínsko z. s. IČO: 08322031 </t>
  </si>
  <si>
    <t>MTD - obnova malé scény</t>
  </si>
  <si>
    <t>Městská knihovana</t>
  </si>
  <si>
    <t>Letní scéna - Vlašský dvůr</t>
  </si>
  <si>
    <t>Informační centrum - Santurinovský dům</t>
  </si>
  <si>
    <t>Informační centrum - Domeček</t>
  </si>
  <si>
    <t>Informační centrum - hl.nádraží</t>
  </si>
  <si>
    <t>Nemocnice prádelna</t>
  </si>
  <si>
    <t>Přípojky 12+6 b.j.</t>
  </si>
  <si>
    <t>Autorský dozor 12 b.j.</t>
  </si>
  <si>
    <t>Autorský dozor 6 b.j.</t>
  </si>
  <si>
    <t>Lůžkové. odd. II.etapa. nemocnice rek</t>
  </si>
  <si>
    <t>12.b.j. hrazeno z půjčky ?</t>
  </si>
  <si>
    <t>12b.j. byt.</t>
  </si>
  <si>
    <t>6b.j. byt. dům pro lékaře</t>
  </si>
  <si>
    <t>Čs. Letců</t>
  </si>
  <si>
    <t>Na Provaznici</t>
  </si>
  <si>
    <t>Parkoviště J.Zajíce</t>
  </si>
  <si>
    <t>Dukelská</t>
  </si>
  <si>
    <t>Kudrnova-Fučíkova křižovatka</t>
  </si>
  <si>
    <t>U Podlipných signalizace</t>
  </si>
  <si>
    <t>Parkoviště u nemocnice</t>
  </si>
  <si>
    <t>Křižovatka Vítězná-Zámecká</t>
  </si>
  <si>
    <t>Sedlec chodník u hřbitova</t>
  </si>
  <si>
    <t>Autobusové nádraží budova</t>
  </si>
  <si>
    <t xml:space="preserve">Česká ulice </t>
  </si>
  <si>
    <t>Chodník OD Kaufland</t>
  </si>
  <si>
    <t>Ulice Přibyslavská</t>
  </si>
  <si>
    <t>Ulice K Nádraží</t>
  </si>
  <si>
    <t>Lorecká ulice</t>
  </si>
  <si>
    <t>Kaňk chodníky a opěrné zdi</t>
  </si>
  <si>
    <t>Komunikace Bělocerkevská</t>
  </si>
  <si>
    <t>Chodník sv. Voršilky</t>
  </si>
  <si>
    <t>Cyklotrasy-spolupráce</t>
  </si>
  <si>
    <t>Ulice U Prachárny</t>
  </si>
  <si>
    <t>Chodník Tylovo divadlo</t>
  </si>
  <si>
    <t>Ulice Nerudova</t>
  </si>
  <si>
    <t>Pod sv. Barborou</t>
  </si>
  <si>
    <t>Ulice Vajdova</t>
  </si>
  <si>
    <t>Komunikace V Zátiší</t>
  </si>
  <si>
    <t>Chodník Kouřimská</t>
  </si>
  <si>
    <t>Komunikace FOXCONN</t>
  </si>
  <si>
    <t>komunikace u Penny Marketu</t>
  </si>
  <si>
    <t>Chodník Průmyslová škola</t>
  </si>
  <si>
    <t>Výjezd Kaufland</t>
  </si>
  <si>
    <t>Komunikace městské sady DPS</t>
  </si>
  <si>
    <t>Parkoviště U Krupičků</t>
  </si>
  <si>
    <t>Kruhový objezd Karlov</t>
  </si>
  <si>
    <t>Parkovací plochy - Městské sady</t>
  </si>
  <si>
    <t>Parkoviště hlavní nádraží</t>
  </si>
  <si>
    <t>Kruhák Ortenova - Opletalova</t>
  </si>
  <si>
    <t>Komunikace Uhlená vč. VO</t>
  </si>
  <si>
    <t>Kolunikace Slévárenská Malín</t>
  </si>
  <si>
    <t>Komunikace U Beránky</t>
  </si>
  <si>
    <t>Komunikace Prokopa Holého</t>
  </si>
  <si>
    <t>Komunikace Na Vrchách</t>
  </si>
  <si>
    <t>Komunikace Pobřežní</t>
  </si>
  <si>
    <t>Komunikace U Kola</t>
  </si>
  <si>
    <t>Doplň.osvětl.přechod Albert</t>
  </si>
  <si>
    <t>Ulice Novomlýnská a Macháčkovo nábřeží</t>
  </si>
  <si>
    <t>Komunikace Kudrnova, Jarošova</t>
  </si>
  <si>
    <t>Komunikace Zelenkova,Řehákova,Stroupežnického</t>
  </si>
  <si>
    <t>Komunikace Na Valech</t>
  </si>
  <si>
    <t>Komunika Sokolská, Čáslavská</t>
  </si>
  <si>
    <t>Bytová zóna Třešňovka</t>
  </si>
  <si>
    <t>Bytová zóna U hřbitova</t>
  </si>
  <si>
    <t>Pozemky Lidka CTP Projekt</t>
  </si>
  <si>
    <t>Chodník ul. Potoční</t>
  </si>
  <si>
    <t>Záchytná parkoviště</t>
  </si>
  <si>
    <t>Parkoviště u MTD</t>
  </si>
  <si>
    <t>Komunikace v Poličanech</t>
  </si>
  <si>
    <t>Ulice Táborská</t>
  </si>
  <si>
    <t>Ulice Havířská</t>
  </si>
  <si>
    <t>Ulice Ke Trojici</t>
  </si>
  <si>
    <t>Ulice Nad Lesem</t>
  </si>
  <si>
    <t>Ulice Polní</t>
  </si>
  <si>
    <t>Ulice Na Plácku</t>
  </si>
  <si>
    <t>Chodník - Zelenkova,Stroupežnického,Řehákova</t>
  </si>
  <si>
    <t>Komunikace přes Vrchlici</t>
  </si>
  <si>
    <t>Ulice Uhelná</t>
  </si>
  <si>
    <t>Most Neškaredice</t>
  </si>
  <si>
    <t>Komunikace Zámecká, Tovární</t>
  </si>
  <si>
    <t>Komunikace Jana Palacha</t>
  </si>
  <si>
    <t>ulice Nad Sady</t>
  </si>
  <si>
    <t>ulice Hrnčířská</t>
  </si>
  <si>
    <t>ulice Starokolínská</t>
  </si>
  <si>
    <t>ulice Křenova</t>
  </si>
  <si>
    <t>Spojince Kudrnova, Jarošova</t>
  </si>
  <si>
    <t>parkoviště U Lazara</t>
  </si>
  <si>
    <t>Komunikace Jiřího z Poděbrad</t>
  </si>
  <si>
    <t>Komunikace Kamenná Stezka</t>
  </si>
  <si>
    <t>Parkoviště Vítězná</t>
  </si>
  <si>
    <t>Komunikace Školní</t>
  </si>
  <si>
    <t>Komunikace Masarykova ulice</t>
  </si>
  <si>
    <t>Komunikace Kremnická</t>
  </si>
  <si>
    <t>Komunikace Zelená Hora</t>
  </si>
  <si>
    <t>Komunika Mincovní</t>
  </si>
  <si>
    <t>Info tabule</t>
  </si>
  <si>
    <t>Projekt stezek - OSM</t>
  </si>
  <si>
    <t>U tří pávů - park</t>
  </si>
  <si>
    <t>Karlov průmyslová zóna</t>
  </si>
  <si>
    <t>Rovina průmyslová zóna</t>
  </si>
  <si>
    <t>Průmyslová zóna u ČOV</t>
  </si>
  <si>
    <t>Czech Invest</t>
  </si>
  <si>
    <t>Bezpečné přechody pro chodce</t>
  </si>
  <si>
    <t>"Stromy 2011"</t>
  </si>
  <si>
    <t>Park Vlašský dvůr</t>
  </si>
  <si>
    <t>Obnova zanedbaných míst</t>
  </si>
  <si>
    <t>Park Vlašský dvůr Žižkova brán</t>
  </si>
  <si>
    <t>Příšpěvky na projekty</t>
  </si>
  <si>
    <t>Park - Pacákovy sady</t>
  </si>
  <si>
    <t>Vorlíčkovy sady - us sv. Barbory</t>
  </si>
  <si>
    <t>Philip Morris - obnova zanedbaných míst</t>
  </si>
  <si>
    <t>Regenerace zeleně města KH</t>
  </si>
  <si>
    <t>Dolní Žižkov- urbanistická studie</t>
  </si>
  <si>
    <t>Lesopark Kaňk</t>
  </si>
  <si>
    <t>Sanace odvalu na Kaňku</t>
  </si>
  <si>
    <t>Lesní hospodářské osnovy</t>
  </si>
  <si>
    <t>Obnova stepních společenstev a sadů na vrchu Kaňk</t>
  </si>
  <si>
    <t>Sanace odvalu dolu Šafary Kaňk</t>
  </si>
  <si>
    <t>pořízení plánu ÚSES pr ORP Kutná Hora</t>
  </si>
  <si>
    <t>Park pod Vlašským dvorem</t>
  </si>
  <si>
    <r>
      <rPr>
        <sz val="11"/>
        <color indexed="8"/>
        <rFont val="Calibri"/>
        <family val="2"/>
        <charset val="238"/>
      </rPr>
      <t>Cyklostezka</t>
    </r>
    <r>
      <rPr>
        <sz val="11"/>
        <color indexed="8"/>
        <rFont val="Calibri"/>
        <family val="2"/>
        <charset val="238"/>
      </rPr>
      <t xml:space="preserve"> - Vrchlice</t>
    </r>
  </si>
  <si>
    <t>Cyklostezka - stezka pro chodce - Sedlec-Kaňk</t>
  </si>
  <si>
    <t>Úvozová cesta Kaňk</t>
  </si>
  <si>
    <t>Kaňk - chodník</t>
  </si>
  <si>
    <t>Chodník - Masarykova ul.</t>
  </si>
  <si>
    <t>Komunikace Neškaredice</t>
  </si>
  <si>
    <t>Chodník Čáslavská</t>
  </si>
  <si>
    <t>Chodník Kutná Hora - Poličany</t>
  </si>
  <si>
    <r>
      <rPr>
        <sz val="11"/>
        <color indexed="8"/>
        <rFont val="Calibri"/>
        <family val="2"/>
        <charset val="238"/>
      </rPr>
      <t>Parkoviště</t>
    </r>
    <r>
      <rPr>
        <sz val="11"/>
        <color indexed="8"/>
        <rFont val="Calibri"/>
        <family val="2"/>
        <charset val="238"/>
      </rPr>
      <t xml:space="preserve"> - BIOS</t>
    </r>
  </si>
  <si>
    <t>BusPark Sedlec (Albert)</t>
  </si>
  <si>
    <t>Přechod pro chodce Malín</t>
  </si>
  <si>
    <t>Parkoviště Oletalova, KH Šipší</t>
  </si>
  <si>
    <t>Zahradní ulice kanalizace</t>
  </si>
  <si>
    <t>Žižkov kanalizace</t>
  </si>
  <si>
    <t>Žižkov kabelové.vedení veřejného.osvětlení.</t>
  </si>
  <si>
    <t>veř.osv.ul. Nad Lesem</t>
  </si>
  <si>
    <t>Benešova výměníková stanice</t>
  </si>
  <si>
    <t>Lorecký rybník přípojky</t>
  </si>
  <si>
    <t>VO pivovar-Kaňk</t>
  </si>
  <si>
    <t>Malín zatrubnění strouhy</t>
  </si>
  <si>
    <t>Kanalizace Malín Kaňk</t>
  </si>
  <si>
    <t>Kanalizace Malín Kaňk s VHS</t>
  </si>
  <si>
    <t>Energetický audit</t>
  </si>
  <si>
    <t>Kanalizace s VHS kohezní fond</t>
  </si>
  <si>
    <t>Pernštejnec kanalizace</t>
  </si>
  <si>
    <t>Osvětlení přechod Karlov</t>
  </si>
  <si>
    <t>Domovní předávací stanice 17.listopadu 115-121</t>
  </si>
  <si>
    <t>VO-ul.Čelakovského čp.474-477</t>
  </si>
  <si>
    <t>VO Královská procházka</t>
  </si>
  <si>
    <t>VO Benešova</t>
  </si>
  <si>
    <t>VO doplňkové osvětlení přechodu pro chodce ul. Čáslavská</t>
  </si>
  <si>
    <t>VO - Lučanská</t>
  </si>
  <si>
    <t>VO - Třešňovka</t>
  </si>
  <si>
    <t>VO - Pobřežní</t>
  </si>
  <si>
    <t>VO slavnostní  - VOŠ a SPŠ Masarykova</t>
  </si>
  <si>
    <t>VO slavnostní - MTD</t>
  </si>
  <si>
    <t>VO - Karlov</t>
  </si>
  <si>
    <t>VO - Na Náměti</t>
  </si>
  <si>
    <t>VO - Kaňk</t>
  </si>
  <si>
    <t>Dešťová kanalizace Kaňk</t>
  </si>
  <si>
    <t>Věřejné osvětlení Jakubská ul.</t>
  </si>
  <si>
    <t>Dar ČP - Skokan roku - bezpečnost provozu</t>
  </si>
  <si>
    <t>VO Malín - Starokolínkso a Soběslavsko</t>
  </si>
  <si>
    <t>Centrální propojení kotelen</t>
  </si>
  <si>
    <t>Osvětlení přechodu Kamenná Stezka</t>
  </si>
  <si>
    <t>VO - Kremnická</t>
  </si>
  <si>
    <t>VO - BIOS</t>
  </si>
  <si>
    <t>VO okružní křižovatka Ortenova</t>
  </si>
  <si>
    <t>VO Poličany</t>
  </si>
  <si>
    <t>Vítězná - světelná signalizace HZS</t>
  </si>
  <si>
    <t>VO - Malín nadjezd</t>
  </si>
  <si>
    <t>VO k Lánům</t>
  </si>
  <si>
    <t>VO Česká</t>
  </si>
  <si>
    <t>VO Tyršova</t>
  </si>
  <si>
    <t>SO kostel Sv. Trojice</t>
  </si>
  <si>
    <t>VO Starokolínská Malín</t>
  </si>
  <si>
    <t>VO Ke Trojici</t>
  </si>
  <si>
    <t xml:space="preserve">VO Mezibranská         </t>
  </si>
  <si>
    <t>VO Havlíčkovo náměstí</t>
  </si>
  <si>
    <t>Povodí Vrchlice - Denemarkův Mlýn</t>
  </si>
  <si>
    <t>Revitalizace povodí Vrchlice - u parku u Vl.dvora</t>
  </si>
  <si>
    <t>Dopravní terminál</t>
  </si>
  <si>
    <t>Veřejné prostranství místní</t>
  </si>
  <si>
    <t>Poplatek z alkoholu</t>
  </si>
  <si>
    <t>Veřejné prostranství správní Ne</t>
  </si>
  <si>
    <t>Poplatek za umístění VHP</t>
  </si>
  <si>
    <t>Registr silnič.vozidel-předpis</t>
  </si>
  <si>
    <t>Pokuty - odbor obrany</t>
  </si>
  <si>
    <t>Poplatek za ubytov. kapacity</t>
  </si>
  <si>
    <t>Náhr.nákladů na léčení zvířete</t>
  </si>
  <si>
    <t>Poplatek z pobytu</t>
  </si>
  <si>
    <t>ŽP pokuty blokové</t>
  </si>
  <si>
    <t>RADAR - výdaje</t>
  </si>
  <si>
    <t>RADAR - URČENÁ ČÁSTKA</t>
  </si>
  <si>
    <t>RADAR - POKUTY VE SPRÁVNÍM ŘÍZENÍ</t>
  </si>
  <si>
    <t>RADAR - NÁKLADY ŘÍZENÍ</t>
  </si>
  <si>
    <t>ŽP náklady správního řízení</t>
  </si>
  <si>
    <t>Státní fond ŽP pokuty</t>
  </si>
  <si>
    <t>ŽP pokuty v správním řízení Ne</t>
  </si>
  <si>
    <t>TDO z minulých let</t>
  </si>
  <si>
    <t>Služby nebytové prostory</t>
  </si>
  <si>
    <t>Dopr.pokuty URČENÁ ČÁSTKA</t>
  </si>
  <si>
    <t>Doprava pokuty v správ. řízení</t>
  </si>
  <si>
    <t>Doprava náklady v správ.řízení</t>
  </si>
  <si>
    <t>Doprava náklady SŘ-DI</t>
  </si>
  <si>
    <t>Doprava pokuty v SŘ-DI</t>
  </si>
  <si>
    <t>Byty-nájem</t>
  </si>
  <si>
    <t>Byty-služby</t>
  </si>
  <si>
    <t>Pron.nebyty v privat.domech</t>
  </si>
  <si>
    <t>Úrok z prodlení-pozemky</t>
  </si>
  <si>
    <t>Smluvní pokuty - nebyty</t>
  </si>
  <si>
    <t>Pronájem pozemků</t>
  </si>
  <si>
    <t>Pronáj.nebyt. prostor</t>
  </si>
  <si>
    <t>Služby nebyty v privat.domech</t>
  </si>
  <si>
    <t>Prodej pozemků</t>
  </si>
  <si>
    <t>Pronájem movit.Věcí</t>
  </si>
  <si>
    <t>Sociální pokuty v SŘ</t>
  </si>
  <si>
    <t>Sociální pěstounská péče</t>
  </si>
  <si>
    <t>Sociální příspěvek na výž.dětí</t>
  </si>
  <si>
    <t>Obytné buňky Neškaredice</t>
  </si>
  <si>
    <t>Sociální vratky přísp.postižen</t>
  </si>
  <si>
    <t>Stát.soc.P pokuty v SŘ</t>
  </si>
  <si>
    <t>Náklady řízení KPP</t>
  </si>
  <si>
    <t>Pokuty - přestupková komise</t>
  </si>
  <si>
    <t>Pokuty - stavební úřad</t>
  </si>
  <si>
    <t>Pokuty - Živnostenský úřad</t>
  </si>
  <si>
    <t>Pokuty - životní prostředí</t>
  </si>
  <si>
    <t>Pokuty - MP</t>
  </si>
  <si>
    <t>Náklady správního řízení ŽÚ</t>
  </si>
  <si>
    <t>Pokuty MP - asistence firmy</t>
  </si>
  <si>
    <t>Pokuty ze vstupného</t>
  </si>
  <si>
    <t>Náklady řízení  - Stavební úřad</t>
  </si>
  <si>
    <t>Sankční poplatky za znečišťování ovzduší</t>
  </si>
  <si>
    <t>Živnostenský úřad - pokuty blokové</t>
  </si>
  <si>
    <t>Správní pokuty v správním řízení</t>
  </si>
  <si>
    <t>Správní pokuty ve správním řízení - OP+CD</t>
  </si>
  <si>
    <t>Náklady správní řízení</t>
  </si>
  <si>
    <t>Odbor školství, kultura - pokuty</t>
  </si>
  <si>
    <t>Živnostenský úřad - pokuty v správním řízení</t>
  </si>
  <si>
    <t>Školství, kultura - náklady řízení</t>
  </si>
  <si>
    <t>Benešova I. nadstandart</t>
  </si>
  <si>
    <t>Puškinská II. nadstandart</t>
  </si>
  <si>
    <t>pí Hradilová-úhr.dluhu stav.spo</t>
  </si>
  <si>
    <t>Sml.o sdružení-Mareček</t>
  </si>
  <si>
    <t>Vymožené výživné-OU</t>
  </si>
  <si>
    <t>Pohledávky SM s.r.o. - nájem byty</t>
  </si>
  <si>
    <t>Pohledávky ostatní</t>
  </si>
  <si>
    <t>Památková péče - pokuty</t>
  </si>
  <si>
    <t>Památková péče - náklady řízení</t>
  </si>
  <si>
    <t>Regionální rozvoj - pokuty v správním řízení</t>
  </si>
  <si>
    <t>Reg. rozvoj náklady SŘ</t>
  </si>
  <si>
    <t>KPP - blokové pokuty</t>
  </si>
  <si>
    <t>Sml.pokuta Inv.inž.a.s.</t>
  </si>
  <si>
    <t>Pohledávka NsAČ-plat</t>
  </si>
  <si>
    <t>Výstavba - správní řízení</t>
  </si>
  <si>
    <t>Územní souhlas - SÚ</t>
  </si>
  <si>
    <t>Vyjímka - SÚ</t>
  </si>
  <si>
    <t>Svatba</t>
  </si>
  <si>
    <t>Stavební povolení</t>
  </si>
  <si>
    <t>Reklama SÚ</t>
  </si>
  <si>
    <t>Potvrzení, změna přijmení</t>
  </si>
  <si>
    <t>Povolení užívání stavby</t>
  </si>
  <si>
    <t>Prodloužení splatnosti u VHP</t>
  </si>
  <si>
    <t>Správní poplatek za výměnu známky VHP</t>
  </si>
  <si>
    <t>Správní poplatek z VHP</t>
  </si>
  <si>
    <t>Správní poplatek - potvrzení o bezdlužnosti</t>
  </si>
  <si>
    <t>Tombola</t>
  </si>
  <si>
    <t>VHP + přemístění</t>
  </si>
  <si>
    <t>Kolaudace</t>
  </si>
  <si>
    <t>Doprava - pokuty blokové</t>
  </si>
  <si>
    <t>Rybářské lístky</t>
  </si>
  <si>
    <t>Opisy a ověření tiskopisů</t>
  </si>
  <si>
    <t>Vystavení RL, OL, ÚL</t>
  </si>
  <si>
    <t>Potvrzení o pobytu</t>
  </si>
  <si>
    <t>Změna užívání</t>
  </si>
  <si>
    <t>Demolice</t>
  </si>
  <si>
    <t>Územní rozhodnutí</t>
  </si>
  <si>
    <t>Kopírování</t>
  </si>
  <si>
    <t>Pronájem varhan - svatby</t>
  </si>
  <si>
    <t>Potvrzení geometrického plánu</t>
  </si>
  <si>
    <t>Dopr.-místní šetření, ohledání na místě</t>
  </si>
  <si>
    <t>Pronájem prostor Vl.dvora</t>
  </si>
  <si>
    <t>Výpis z katastru nemovitostí</t>
  </si>
  <si>
    <t>Prodej čísla popisného</t>
  </si>
  <si>
    <t>Posečkání platby - splátkový kalendář (400,--)</t>
  </si>
  <si>
    <t>Náhr.za pozemky Nové Dvory</t>
  </si>
  <si>
    <t>Věcné břemeno na vl.pozemku</t>
  </si>
  <si>
    <t>Správní poplatek - výpis Seznam dodavatelů</t>
  </si>
  <si>
    <t>Správní poplatek -  výpis z Registru autovraků</t>
  </si>
  <si>
    <t>Správní poplatek -  výpis bodů řidičů</t>
  </si>
  <si>
    <t>Přihlášení k trvalému pobytu</t>
  </si>
  <si>
    <t>Správní poplatek - výpis u Obch.rejstříku</t>
  </si>
  <si>
    <t>Správní poplatek - výpis z Rejstříku trest</t>
  </si>
  <si>
    <t>Správní poplatek - výpis z Živnostenksého rejstříku</t>
  </si>
  <si>
    <t>DS - nové příspupové údaje - jde o příjem MVČR</t>
  </si>
  <si>
    <t>Správní poplatek - autorizovaná konverze (Czech Point)</t>
  </si>
  <si>
    <t>Správní poplatek - insolventní rejstřík</t>
  </si>
  <si>
    <t>Žádost o výpis z rejstříku trestů právnických osob  - Czech Point</t>
  </si>
  <si>
    <t>Správní poplatek - osvědčení zemědělce</t>
  </si>
  <si>
    <t>Výpis údajů z registru osob - Czech Point PO</t>
  </si>
  <si>
    <t>Výpis údajů z registru osob - Czech Point FO</t>
  </si>
  <si>
    <t>Správa pokuty blokové OP</t>
  </si>
  <si>
    <t>Správa pokuty blokové CD</t>
  </si>
  <si>
    <t>Lovecké lístky</t>
  </si>
  <si>
    <t>Licence lesního hospodáře</t>
  </si>
  <si>
    <t>Životní místní šetření</t>
  </si>
  <si>
    <t>Stavební povolení vodohospodářských staveb</t>
  </si>
  <si>
    <t>Životní vystavení náhr. doklad</t>
  </si>
  <si>
    <t>Upuštění od třídění odpadů</t>
  </si>
  <si>
    <t xml:space="preserve">Zápis a změna zápisu do Rejstříku honebních společenstev </t>
  </si>
  <si>
    <t>DP PO obce (vlastní)</t>
  </si>
  <si>
    <t>OP - dopsání titulu nebo hodnosti nebo vydání z jiného os. důvodu v delší době než 1/2 roku před uplynutím platnosti , výše spr. poplatku 200,- Kč od r. 2016</t>
  </si>
  <si>
    <t>OP - převzetí OP u obecního úřadu obce s rozšířenou působností, kt. občan uvedl v žádosti; výše spr. popl. 100 Kč od r. 2016</t>
  </si>
  <si>
    <t>OP - Převzetí CD u obce s rozšířenou působností , kt. občan uvedl v žádosti; výše spr. popl. 100 Kč od r. 2016</t>
  </si>
  <si>
    <t>OP ztráta, odcizení, poškození</t>
  </si>
  <si>
    <t xml:space="preserve">OP - ostatní </t>
  </si>
  <si>
    <t>Cestovní doklady</t>
  </si>
  <si>
    <t>Evidence obyvatelstva</t>
  </si>
  <si>
    <t>Potvrzení ze sbírky listin-mat</t>
  </si>
  <si>
    <t>Informace o zjištění kontaktu</t>
  </si>
  <si>
    <t>OP pro děti do 15ti let</t>
  </si>
  <si>
    <t>OP čipové</t>
  </si>
  <si>
    <t>OP ostatní poplatky</t>
  </si>
  <si>
    <t>OP čipové vydání do 5 dnů</t>
  </si>
  <si>
    <t>SO-zrušení trvalého pobytu</t>
  </si>
  <si>
    <t>SO-ukončení trv.poby. území ČR</t>
  </si>
  <si>
    <t>Doprava informace ze spisů</t>
  </si>
  <si>
    <t>Doprava staveb. povolení</t>
  </si>
  <si>
    <t>Doprava vydání licence</t>
  </si>
  <si>
    <t>Doprava zvláštní už. silnic</t>
  </si>
  <si>
    <t>Doprava - pro cizí potřeby</t>
  </si>
  <si>
    <t>Doprava osvědčení o způsobilos</t>
  </si>
  <si>
    <t>Doprava průkaz taxislužby</t>
  </si>
  <si>
    <t>Doprava připojení poz. komunik</t>
  </si>
  <si>
    <t>Doprava vydání náhr. ŘP</t>
  </si>
  <si>
    <t>Doprava vydání ŘP</t>
  </si>
  <si>
    <t>Doprava registr řidičů</t>
  </si>
  <si>
    <t>Doprava registr silničních vozidel</t>
  </si>
  <si>
    <t>Zkouška OZ řízení mot. vozidel</t>
  </si>
  <si>
    <t>doprava- kauce-vážení vozidel</t>
  </si>
  <si>
    <t>Recepty a žád.na návyk.látky</t>
  </si>
  <si>
    <t>Soc. vystavení průkazu ZTP</t>
  </si>
  <si>
    <t>Zavážení koupaliště</t>
  </si>
  <si>
    <t>Čáslav-pěst.péče</t>
  </si>
  <si>
    <t>Správa informace 106/1999</t>
  </si>
  <si>
    <t>ŽÚ registrace</t>
  </si>
  <si>
    <t>Převod DP FO 30% (výlučná)</t>
  </si>
  <si>
    <t>Převod DP FO 20,59% (sdílená)</t>
  </si>
  <si>
    <t>Převod DP FO zvl.sazba sdílená</t>
  </si>
  <si>
    <t>Převod DPH</t>
  </si>
  <si>
    <t>Za služby od obcí CZECH POINT</t>
  </si>
  <si>
    <t>Správní osvědčení o stát.obč.</t>
  </si>
  <si>
    <t>Tel. poplatky správa</t>
  </si>
  <si>
    <t>Telefony MŠ</t>
  </si>
  <si>
    <t>Telefony ZŠ</t>
  </si>
  <si>
    <t>Zbytky ŠJ</t>
  </si>
  <si>
    <t>Telefony ŠJ</t>
  </si>
  <si>
    <t>Telefony ZvŠ</t>
  </si>
  <si>
    <t>Telefony ZUŠ</t>
  </si>
  <si>
    <t>Automaty od TS</t>
  </si>
  <si>
    <t>Parkovací karty MO,automaty</t>
  </si>
  <si>
    <t>Prodej nemovitostí</t>
  </si>
  <si>
    <t>Vyúč.služeb-z min. let</t>
  </si>
  <si>
    <t>Kompenzace Dům s peč. sl.</t>
  </si>
  <si>
    <t>Bud.spol.vlast.-příjmy za služ</t>
  </si>
  <si>
    <t>Prodej byty Benešova</t>
  </si>
  <si>
    <t>Prodej byty Puškinská I.</t>
  </si>
  <si>
    <t>Prodej byty Puškinská II.</t>
  </si>
  <si>
    <t>Převod DP FO záv.č.(sdílená)</t>
  </si>
  <si>
    <t>Převod DPO do ROB</t>
  </si>
  <si>
    <t>Odvod z VHP podíl obci</t>
  </si>
  <si>
    <t>Odvod z loterie</t>
  </si>
  <si>
    <t>Přev.DO FO záv.č.1,5%stát.v.</t>
  </si>
  <si>
    <t>Převod daně z nemovitosti</t>
  </si>
  <si>
    <t>Převod DP PO bez obce</t>
  </si>
  <si>
    <t>Převod za odnětí půdy</t>
  </si>
  <si>
    <t>Voda</t>
  </si>
  <si>
    <t>Elektřina</t>
  </si>
  <si>
    <t>Zemní plyn</t>
  </si>
  <si>
    <t>Nájem filmaři</t>
  </si>
  <si>
    <t>Filmaři-popl.za vyřízenížádost</t>
  </si>
  <si>
    <t>Příjmy pro R správní pokuty</t>
  </si>
  <si>
    <t>Přijmy pro R správní poplatky</t>
  </si>
  <si>
    <t>Nájem kolumbární schránky</t>
  </si>
  <si>
    <t>Pronájem hrobového místa</t>
  </si>
  <si>
    <t>Ubytovny Vítězná-nájem</t>
  </si>
  <si>
    <t>Nájem ubytovna Čáslavská</t>
  </si>
  <si>
    <t>BIOS hala-nájem</t>
  </si>
  <si>
    <t>Ubytovna Trebišovská</t>
  </si>
  <si>
    <t>Příspěvek SVJ na měření tepla</t>
  </si>
  <si>
    <t>Ztráta psí známky</t>
  </si>
  <si>
    <t>Přijmy pro R doprava pokuty</t>
  </si>
  <si>
    <t>Přijmy pro R dopravní poplatky</t>
  </si>
  <si>
    <t>Přijmy pro R životní poplatky</t>
  </si>
  <si>
    <t>Splátky půjček-OU</t>
  </si>
  <si>
    <t>Ekokom za tříděné odpady</t>
  </si>
  <si>
    <t>ASEKOL - tříděný odpad</t>
  </si>
  <si>
    <t>EKOLAMP - tříděný odpad</t>
  </si>
  <si>
    <t>ELEKTROWIN - tříděný odpad</t>
  </si>
  <si>
    <t>Recycling a.s.</t>
  </si>
  <si>
    <t>Inzerce v K. listech</t>
  </si>
  <si>
    <t>ČSAD nádraží nájem</t>
  </si>
  <si>
    <t>Zrušená PO Nemocnice</t>
  </si>
  <si>
    <t>Byty - neprivatizované</t>
  </si>
  <si>
    <t>Nájemné a služby byty z s.r.o.</t>
  </si>
  <si>
    <t>Vydražený nájem</t>
  </si>
  <si>
    <t>Prodej bytů privatizace I.</t>
  </si>
  <si>
    <t>Prodej bytů privatizace II.</t>
  </si>
  <si>
    <t>Prodej bytů VŘ</t>
  </si>
  <si>
    <t>Prodej nebytových prostor</t>
  </si>
  <si>
    <t>Ubytovna OKÁL Sedlec</t>
  </si>
  <si>
    <t>daň z hazardních her 65%</t>
  </si>
  <si>
    <t>Popl.za proj.dok. k výb.řízení</t>
  </si>
  <si>
    <t>Příjmy z reklamy</t>
  </si>
  <si>
    <t>OS DIGNO-pomoc zdr. postiženým</t>
  </si>
  <si>
    <t>Svaz postiž. civ. chorobami ČR</t>
  </si>
  <si>
    <t>Alter ego KH institut pro podporu vzdělanosti</t>
  </si>
  <si>
    <t>BookCheck obč. sdružení</t>
  </si>
  <si>
    <t>CT nemocnice</t>
  </si>
  <si>
    <t>CT nemocnice stav. práce</t>
  </si>
  <si>
    <t>Svaz post. CvCH Malín 80</t>
  </si>
  <si>
    <t>Člověk v tísni při ČT</t>
  </si>
  <si>
    <t>Česká katolická charita</t>
  </si>
  <si>
    <t>Hand for Help ČR Liberec</t>
  </si>
  <si>
    <t>Chrysos 26 Hradec Králové</t>
  </si>
  <si>
    <t>Svaz post. CvCH OV</t>
  </si>
  <si>
    <t>Asistence o.s.Praha</t>
  </si>
  <si>
    <t>Cesta životem bez bariér OS</t>
  </si>
  <si>
    <t>Rytmus-Benešov, o.p.s.</t>
  </si>
  <si>
    <t>Fond ohrožených dětí</t>
  </si>
  <si>
    <t>Alena Komárková - Retro kavárnička</t>
  </si>
  <si>
    <t>Příspěvky pro soc. odbor</t>
  </si>
  <si>
    <t>Nadační fond - "Dítě a kůň"</t>
  </si>
  <si>
    <t>Sdružení - Dítě a kůň</t>
  </si>
  <si>
    <t>Stáj Rozárka obč.sdr. Bykáň</t>
  </si>
  <si>
    <t>OROS oblastmí rada ČMOS</t>
  </si>
  <si>
    <t>Oblastní charita Kutná Hora</t>
  </si>
  <si>
    <t>Unie ROSCA</t>
  </si>
  <si>
    <t>Barvířův dům</t>
  </si>
  <si>
    <t>Asociace rodičů a přátel zdravotně postižených dětí v ČR Klub Sluníčko</t>
  </si>
  <si>
    <t>Základní kynologická organizace - organizační jednotka sdružení</t>
  </si>
  <si>
    <t>Club Deportivo Kutná Hora, spolek
Kutná Hora-Vnitřní Město, náměstí Národního odboje 48/1</t>
  </si>
  <si>
    <t>Oblastní charita Červený Kostelec - Hospic Anežky České</t>
  </si>
  <si>
    <t>TJ Léčebna Košumberk</t>
  </si>
  <si>
    <t>Fond stáří</t>
  </si>
  <si>
    <t>Svaz tělesně postižených  v ČR, o.s.  OO KH</t>
  </si>
  <si>
    <t>Život 90 Zruč nad Sázavou, z.ú.</t>
  </si>
  <si>
    <t>Pedagogicko psych. poradna</t>
  </si>
  <si>
    <t>Sdružení Romů</t>
  </si>
  <si>
    <t>Romské sdružení obč.porozumění</t>
  </si>
  <si>
    <t>Výbor pro odšk.romsk.holocaust</t>
  </si>
  <si>
    <t>Obastní spolek Českého červeného kříže Kutná Hora</t>
  </si>
  <si>
    <t>Obč. sdružení Povídej</t>
  </si>
  <si>
    <t>Od kořenů z.s.</t>
  </si>
  <si>
    <t>Svaz diabetiků</t>
  </si>
  <si>
    <t>Český svaz bojovníků</t>
  </si>
  <si>
    <t>Vojenský spolek rehabilitovaných Armády České republiky</t>
  </si>
  <si>
    <t>Český svaz žen - Okresní rada žen Kutná Hora ZO č. 1</t>
  </si>
  <si>
    <t>Centrum služeb zdravotně postižených</t>
  </si>
  <si>
    <t>SONS sdr.org. nev.a slab ZO KH</t>
  </si>
  <si>
    <t xml:space="preserve">Středisko rané péče SPRP Praha </t>
  </si>
  <si>
    <t>Kolín - záchytka</t>
  </si>
  <si>
    <t>Protidrogová prevence</t>
  </si>
  <si>
    <t>Pedag.centrum Střední Čechy</t>
  </si>
  <si>
    <t>Občan. iniciativa "Vděčnost"</t>
  </si>
  <si>
    <t>Skautský oddíl VYDRY</t>
  </si>
  <si>
    <t>Car club s.r.o.</t>
  </si>
  <si>
    <t>Česká pediatrická společnost</t>
  </si>
  <si>
    <t>P.Lokaj zrakově postiž. děti</t>
  </si>
  <si>
    <t>Člověk v tísni</t>
  </si>
  <si>
    <t>Centrum soc.a prac. integrace</t>
  </si>
  <si>
    <t>Sdruž. pro pomoc mentál. posti</t>
  </si>
  <si>
    <t>Junák - český skaut, přístav Dobré naděje Kutná Hora, z. s. (Vlčice, Světlušky)</t>
  </si>
  <si>
    <t>Junák Kutná Hora stř. 215,04</t>
  </si>
  <si>
    <t>DD Čáslav</t>
  </si>
  <si>
    <t>Prostor plus</t>
  </si>
  <si>
    <t>Centrum pro integraci cizinců o.s.</t>
  </si>
  <si>
    <r>
      <t>Junák - český skaut</t>
    </r>
    <r>
      <rPr>
        <sz val="11"/>
        <color theme="1"/>
        <rFont val="Calibri"/>
        <family val="2"/>
        <charset val="238"/>
        <scheme val="minor"/>
      </rPr>
      <t xml:space="preserve"> středisko KH, z.s.; Ku Ptáku 940, KH</t>
    </r>
  </si>
  <si>
    <t>Festival "Jeden svět"</t>
  </si>
  <si>
    <t>MS Neškaredice</t>
  </si>
  <si>
    <t>Cyklus hud.vyst. Apolen</t>
  </si>
  <si>
    <t>Dačický s.r.o.</t>
  </si>
  <si>
    <t>Státní oblastní archiv Praha</t>
  </si>
  <si>
    <t>Ochotnický spolek Tyl v Kutné Hoře, kulturně společenská činnost</t>
  </si>
  <si>
    <t>Společnost Vox Bohemica - o.s.</t>
  </si>
  <si>
    <t>6. pionýrská skupina Kolín</t>
  </si>
  <si>
    <t>Galerie Zubov</t>
  </si>
  <si>
    <t>Agentura BLUES</t>
  </si>
  <si>
    <t>EU vstup</t>
  </si>
  <si>
    <t>Dětská divadelní přehlídka MTD</t>
  </si>
  <si>
    <t>Český zahrádkářský svaz, ZO č. 1 o.s.</t>
  </si>
  <si>
    <t>Posázavský pacifik Čerčany OS</t>
  </si>
  <si>
    <t>Kulturní svaz obč. romské náro</t>
  </si>
  <si>
    <t>CANTICA Mgr.Vojáček OS</t>
  </si>
  <si>
    <t>Mgr.Vindourek FO</t>
  </si>
  <si>
    <t>Mozaika - Kaňk z.s.</t>
  </si>
  <si>
    <t>Bečán Pavel FO</t>
  </si>
  <si>
    <t>Sázavafest-In promotion s.r.o.</t>
  </si>
  <si>
    <t>SPOLEK PRO OBNOVU VINAŘSTVÍ NA KUTNOHORSKU
Kutná Hora-Vnitřní Město, Jiřího z Poděbrad 288/13</t>
  </si>
  <si>
    <t>Krčil Josef FO</t>
  </si>
  <si>
    <t>Drchal FO Dobrá čajovna</t>
  </si>
  <si>
    <t>Vinné sklepy KH s.r.o.</t>
  </si>
  <si>
    <t>Bohuslav Kučera Videovilm studio Kutná Hora</t>
  </si>
  <si>
    <t>Andrej Németh FO</t>
  </si>
  <si>
    <t>MAS Lípa pro venkov Zbraslavic</t>
  </si>
  <si>
    <t>Sdružení LUGH</t>
  </si>
  <si>
    <t>LINE s.r.o. Kmochův Kolín</t>
  </si>
  <si>
    <t>Kukrálová FO</t>
  </si>
  <si>
    <t>LOTOS s.r.o.</t>
  </si>
  <si>
    <t>Kolář Petr FO</t>
  </si>
  <si>
    <t>Dostálová Kamila FO</t>
  </si>
  <si>
    <t>Bělohlávková Petra FO</t>
  </si>
  <si>
    <t>Ryba FO</t>
  </si>
  <si>
    <t>Dušan Lapáček</t>
  </si>
  <si>
    <t>PhDr. Aleš Pospíšil</t>
  </si>
  <si>
    <t>Josef Matura - FO</t>
  </si>
  <si>
    <t>Mil.Šanc - ŠANCE</t>
  </si>
  <si>
    <t>Mir.Štrobl</t>
  </si>
  <si>
    <t>Monika Pravdová</t>
  </si>
  <si>
    <t>KaBaLa, o.s.</t>
  </si>
  <si>
    <t>Lenka Drahotová</t>
  </si>
  <si>
    <t>Fresh Films s.r.o.</t>
  </si>
  <si>
    <t>Občanské sdružení rodičů Malín</t>
  </si>
  <si>
    <t>Osadní výbor - Poličany - zástupce</t>
  </si>
  <si>
    <t>Výtvarnice</t>
  </si>
  <si>
    <t>Česká konference o.s.</t>
  </si>
  <si>
    <t>Smíšený pěvecký sbor Smetana HK</t>
  </si>
  <si>
    <t>Osadní výbor - Žižkov</t>
  </si>
  <si>
    <t>Sdružení Ostrof</t>
  </si>
  <si>
    <t>Sdružení konzultantů rozvoje organizací</t>
  </si>
  <si>
    <t>Galerie Středočeského kraje, příspěvková organizace</t>
  </si>
  <si>
    <t>KH Travel s.r.o.</t>
  </si>
  <si>
    <t>Mgr. Ladislava Krčmářová</t>
  </si>
  <si>
    <t>Bc. Michal Smrkovský</t>
  </si>
  <si>
    <t>Asociace turistických informačních center České republiky</t>
  </si>
  <si>
    <t>"KLUB PŘÁTEL VÍNA V KUTNÉ HOŘE"</t>
  </si>
  <si>
    <t>Věnovanka - Vrdy</t>
  </si>
  <si>
    <t>PhDr. Dalibor Hobl - FO podnikající</t>
  </si>
  <si>
    <t>Sdružení vodohospodářů České republiky, oblast Kutná Hora</t>
  </si>
  <si>
    <t>SDH Malín</t>
  </si>
  <si>
    <t>PRAHA, KLASIKA.. o.p.s.</t>
  </si>
  <si>
    <t>Asociace nositelů legonářských tradic o.s.</t>
  </si>
  <si>
    <t>"KHfilmin"</t>
  </si>
  <si>
    <t>Agentura ZUZKO - Zuzana Kocourková</t>
  </si>
  <si>
    <t>Mgr. Ján Škorka</t>
  </si>
  <si>
    <t>Lada Bartošová</t>
  </si>
  <si>
    <t>Kulturní invaze z.s.
Praha 7, Holešovice, Na Maninách 1424/23</t>
  </si>
  <si>
    <t>Studenský spolek Pro Skalsko
Skalsko 1</t>
  </si>
  <si>
    <t>Syslíci pro Kaňk, z.s.
Kutná Hora, Kaňk 332</t>
  </si>
  <si>
    <t>Fajn muzika s.r.o.
Praha 15, Hostivař, náměstí Přátelství 1518/2</t>
  </si>
  <si>
    <t>Nafrnění z.s.
Kutná Hora, Sedlec, Čs. letců 258</t>
  </si>
  <si>
    <t>Wartburg Veterán Klub ČR,z.s.
Kutná Hora-Vnitřní Město, Jungmannovo náměstí 445/19</t>
  </si>
  <si>
    <t>DOBŠANÉ, z.s. Dobšice 16</t>
  </si>
  <si>
    <t>Nadační fond na záchranu a rozvoj kulturního dědictví města Čáslavě</t>
  </si>
  <si>
    <t>Antonín Novotný
Vidice, Roztěž 34</t>
  </si>
  <si>
    <t>HORNFORUM - česká hornová společnost J. V. Sticha-Punta, z. s.</t>
  </si>
  <si>
    <t xml:space="preserve">Akademie komorní hudby, z. s.Praha 4, Záběhlice, Severovýchodní II 584/30  VR VREO </t>
  </si>
  <si>
    <t>NF Mikuláše Daczického z Heslova</t>
  </si>
  <si>
    <t>Divadlo X10 z.s.</t>
  </si>
  <si>
    <t>Spolek přátel Mirka Jiřisty z.s.</t>
  </si>
  <si>
    <t>Kutnohorský fotoklub z.s. Zachova ulice</t>
  </si>
  <si>
    <t>Spolek pro obnovu únětické kultury
Únětice, Náves 17/4 - Ben Anderson ukulele</t>
  </si>
  <si>
    <t>Kulturní zpravodaj</t>
  </si>
  <si>
    <t>Brzdaři a Jitrocel</t>
  </si>
  <si>
    <t>Pěvecké sdružení učitelů</t>
  </si>
  <si>
    <t>Michaela Palečková - Mažoretky Scarlett</t>
  </si>
  <si>
    <t>"Stříbrná Kutná Hora" spolek</t>
  </si>
  <si>
    <t>Obč.sdružení Denemark</t>
  </si>
  <si>
    <t>First Unit s.r.o.Praha 22, Hájek, U mezníku 142</t>
  </si>
  <si>
    <t>Česká inspirace</t>
  </si>
  <si>
    <t>Klub rodáků a přátel KH - Kutná Hora v Praze</t>
  </si>
  <si>
    <t>SRPDŠ ZŠ J.Palacha</t>
  </si>
  <si>
    <t>Rada rodičů ZŠ Kam. stezka</t>
  </si>
  <si>
    <t>Mgr. Petra Kremlová</t>
  </si>
  <si>
    <t>Svaz měst a obcí</t>
  </si>
  <si>
    <t>Hromádková Karolína - FO - Mezinárodní operní týden</t>
  </si>
  <si>
    <t>Kutnohorský komorní orchestr z. s.</t>
  </si>
  <si>
    <t>Nadace Kutná Hora - památka UNESCO
Kutná Hora-Vnitřní Město, Šultysova 167/14</t>
  </si>
  <si>
    <t>Obč. sdruž. "Hra školou"</t>
  </si>
  <si>
    <t>A.Novák - FO</t>
  </si>
  <si>
    <t>"Kolektiv A.M.180"</t>
  </si>
  <si>
    <t>Muzeum loutek</t>
  </si>
  <si>
    <t>P.Svěcený Miss Junior</t>
  </si>
  <si>
    <t>P.Svěcený Kutnohorský pohár</t>
  </si>
  <si>
    <t>Projekt Zd.Jelínek</t>
  </si>
  <si>
    <t>TŠ A.Novák - z.s.</t>
  </si>
  <si>
    <t>Unie digitálních kin</t>
  </si>
  <si>
    <t>Kultura do města, z.s.</t>
  </si>
  <si>
    <t>Apolen FO</t>
  </si>
  <si>
    <t>Česká 1 OS</t>
  </si>
  <si>
    <t>Pavol Čureja</t>
  </si>
  <si>
    <t>Spol. Lokomotiv Chomutov</t>
  </si>
  <si>
    <t>V.Veselý Kaňk</t>
  </si>
  <si>
    <t>Veteran car club</t>
  </si>
  <si>
    <t>Nadace pro dějiny kulury ve střední Evropě</t>
  </si>
  <si>
    <t>Zdeněk Vřešťál</t>
  </si>
  <si>
    <t>Dedeman, s.r.o.</t>
  </si>
  <si>
    <t>IPOS-ARTAMA scén. tanec</t>
  </si>
  <si>
    <t>Boris Buňka (MUZEUM ODHALENÍ TAJEMNÉ TVÁŘE KH)</t>
  </si>
  <si>
    <t>J.Procházka výstava fotografií</t>
  </si>
  <si>
    <t>M.Bartoš vydání sborníku</t>
  </si>
  <si>
    <t>Roska občanské sdružení</t>
  </si>
  <si>
    <t>Arte-fakt sdružení pro ochrana památek o.s.</t>
  </si>
  <si>
    <t>Rodinné centrum Pec o.s.</t>
  </si>
  <si>
    <t>Sdružení "Kocábka"</t>
  </si>
  <si>
    <t>Spolek Hůrka Kutná Hora
Kutná Hora-Vnitřní Město, Palackého náměstí 320</t>
  </si>
  <si>
    <t>Kutnohorsko.cz, o.p.s.</t>
  </si>
  <si>
    <t>Divadlo Neškvor - občasnské sdružení</t>
  </si>
  <si>
    <t>Šance žít - Chance Be Live - občasnské sdružení</t>
  </si>
  <si>
    <t>Josef Nos</t>
  </si>
  <si>
    <t>Kinematograf bratří Čadíků</t>
  </si>
  <si>
    <t>České dědictví UNESCO</t>
  </si>
  <si>
    <t>František Pokorný - div.přestavení</t>
  </si>
  <si>
    <t>Společnost Modrý svět</t>
  </si>
  <si>
    <t>Čes.muzeum stříbra Hrádek</t>
  </si>
  <si>
    <t>Obč.sdr. Muzeum alchymie</t>
  </si>
  <si>
    <t>Nár. zem. muzeum Kačina</t>
  </si>
  <si>
    <t>Učitelský smíšený pěvecký sbor Tyl, z.s.</t>
  </si>
  <si>
    <t>Jiří Matoušek - hubební festival</t>
  </si>
  <si>
    <t xml:space="preserve">O.S.Čercheň </t>
  </si>
  <si>
    <t>LeMi CZ s.r.o. Muzeum Lega</t>
  </si>
  <si>
    <t>RIXA Kutná Hora - Tomáš Žák</t>
  </si>
  <si>
    <t>Olympiáda škol</t>
  </si>
  <si>
    <t>Hřiště Sokol</t>
  </si>
  <si>
    <t>Okresní rada Asociace školních sportovních klubů České republiky Kutná Hora, pobočný spolek
Kutná Hora, Hlouška, Jiráskovy sady 387/7</t>
  </si>
  <si>
    <t>TJ Stadion šachový oddíl</t>
  </si>
  <si>
    <t>SK Valdman's Církvice kickbox</t>
  </si>
  <si>
    <t>Fit studion Jitky Brachovcové (má to na FO Jitka Brachovcová)</t>
  </si>
  <si>
    <t>Turnaj v malé kopané-Doubrava</t>
  </si>
  <si>
    <t xml:space="preserve">Czech Sports INVESTMENTS, s.r.o. </t>
  </si>
  <si>
    <t>Michelin team KH</t>
  </si>
  <si>
    <t>TJ SPARTA Kutná Hora, z.s.</t>
  </si>
  <si>
    <t>o.s.Rodinné centrum Špalíček</t>
  </si>
  <si>
    <t>Hasičský sportovní klub (sdr.)</t>
  </si>
  <si>
    <t>TJ Sparta - odd. horozlezectví</t>
  </si>
  <si>
    <t>TJ Sparta - odd. jezdectví</t>
  </si>
  <si>
    <t>TJ Sparta - odd. pláž.volejbal</t>
  </si>
  <si>
    <t>TJ Sparta - oddíl volejbalu</t>
  </si>
  <si>
    <t>Lukáš Lapčík (dogtrekking)</t>
  </si>
  <si>
    <t>Libor Bucifal (podpora sportovce)</t>
  </si>
  <si>
    <t>Vladimír Císař</t>
  </si>
  <si>
    <t>TJ Sparta - oddíl kuželek</t>
  </si>
  <si>
    <t>A-TOM 3108 Zálesák Kutná Hora</t>
  </si>
  <si>
    <t>Okresní sdružení hasičů Kutná Hora</t>
  </si>
  <si>
    <t>TJ Sparta - plavecký oddíl</t>
  </si>
  <si>
    <t>TJ Sparta - sportovní gymnastika</t>
  </si>
  <si>
    <t>TJ Sparta - rekreační sport</t>
  </si>
  <si>
    <t>TJ Sparta - sport pro všechny</t>
  </si>
  <si>
    <t>TJ Sokol KH - oddíl všestrannosti</t>
  </si>
  <si>
    <t>SKP Olympia - atletika</t>
  </si>
  <si>
    <t>Juniorský maratonský klub, o.s.</t>
  </si>
  <si>
    <t>Iveta Vlasáková</t>
  </si>
  <si>
    <t>Leoš Lacina</t>
  </si>
  <si>
    <t>Jezdecký klub Redmill</t>
  </si>
  <si>
    <t>Myslivecké sdr. POKROK Kluky, o.s.
Nová Lhota 15</t>
  </si>
  <si>
    <t>Omega - tělovýchovný klub Chodov Praha</t>
  </si>
  <si>
    <t>Jiří Dejmal - Strongman</t>
  </si>
  <si>
    <t>Petr Richtár</t>
  </si>
  <si>
    <t>"Přátelé turistiky, přírody a poznávání historie o.s."
Vlastějovice 25</t>
  </si>
  <si>
    <t>Marta Puchríková</t>
  </si>
  <si>
    <t>Sdružení organizátorů bankovních sportovních akcí</t>
  </si>
  <si>
    <t>Klub cyklistů Kutná Hora z.s.
Kutná Hora, Hlouška, Benešova 614/24</t>
  </si>
  <si>
    <t>Basketbalový klub Kutná Hora z.s.</t>
  </si>
  <si>
    <t>TJ SPARTA Kutná Hora, z.s. - nohejbal</t>
  </si>
  <si>
    <t>Kick Box Club Kutná Hora, z. s.; 28401 Kutná Hora - Kutná Hora-Vnitřní Město, Anenské náměstí 369</t>
  </si>
  <si>
    <t>HESU, z.s.
Praha-Zličín, Zličín, Halenkovská 484/10</t>
  </si>
  <si>
    <t>Sportovní klub Lvíček Pardubice z.s.
Pardubice II, Polabiny, Stavbařů 149</t>
  </si>
  <si>
    <t>ŠÍŠA CUP z.s.
Kutná Hora, Šipší, Opletalova 130</t>
  </si>
  <si>
    <t>Český svaz házené, z.s.;Praha 4, Michle, Budějovická 778/3a</t>
  </si>
  <si>
    <t>Olympia Spartan Training Kutná Hora, z. s.; Kutná Hora, Žižkov, Tyršova 1005</t>
  </si>
  <si>
    <t>TJ Sparta-plav.bazén</t>
  </si>
  <si>
    <t>TJ Elán</t>
  </si>
  <si>
    <t>TJ Stadion</t>
  </si>
  <si>
    <t>HC Kutná Hora a.s.</t>
  </si>
  <si>
    <t>SK Sršni</t>
  </si>
  <si>
    <t>TJ Sršni</t>
  </si>
  <si>
    <t>Jarmila Kolínská - sportovní činnost</t>
  </si>
  <si>
    <t>TJ Sokol Kutná Hora</t>
  </si>
  <si>
    <t>TJ Sokol Kaňk z.s.</t>
  </si>
  <si>
    <t>TJ Viktoria Sedlec</t>
  </si>
  <si>
    <t>FBC Kutná Hora florbalový oddíl z.s.</t>
  </si>
  <si>
    <t>TJ Sokol Malín</t>
  </si>
  <si>
    <t>TJ Turista</t>
  </si>
  <si>
    <t>TJ Tercia</t>
  </si>
  <si>
    <t>TJ ČAKS-oblast Kutnohorsko</t>
  </si>
  <si>
    <t>SK Sparta Kutná Hora o.s. - kopaná</t>
  </si>
  <si>
    <t>TJ Respo</t>
  </si>
  <si>
    <t>SK Barbora o.s.</t>
  </si>
  <si>
    <t>TJ Sokol KH - oddíl stolního tenisu</t>
  </si>
  <si>
    <t>TJ Sokol KH - oddíl basketbalu</t>
  </si>
  <si>
    <t>Klub lyžařů</t>
  </si>
  <si>
    <t>TJ Sparta - házená</t>
  </si>
  <si>
    <t>TJ Sparta - tenis</t>
  </si>
  <si>
    <t>Kutnohorská Tour, o.s.</t>
  </si>
  <si>
    <t>DST Olympia KH</t>
  </si>
  <si>
    <t>TJ Sparta - šachy</t>
  </si>
  <si>
    <t>TJ Sokol Malín - Merendi</t>
  </si>
  <si>
    <t>Sparta KH jezdecký oddíl</t>
  </si>
  <si>
    <t>Karate klub VAKADO</t>
  </si>
  <si>
    <t>TJ Sokol KH - karate</t>
  </si>
  <si>
    <t>Tělovýchovná jednota Dukla Praha, z.s.
Praha 6, Dejvice, Na Julisce 28/2</t>
  </si>
  <si>
    <t>JK EQUUES TEAM</t>
  </si>
  <si>
    <t>JK SCARLET</t>
  </si>
  <si>
    <t>SK Slavia</t>
  </si>
  <si>
    <t>SK Juve Safari</t>
  </si>
  <si>
    <t>SK RESPO Kutná Hora, z.s.</t>
  </si>
  <si>
    <t>Klub kultur. a sil.troj. Sport</t>
  </si>
  <si>
    <t>Oddíl sport. aerobiku</t>
  </si>
  <si>
    <t>AMK cyklotrial K.H.</t>
  </si>
  <si>
    <t>Čáslavský mítink</t>
  </si>
  <si>
    <t>BIKE CLUB KUTNÁ HORA</t>
  </si>
  <si>
    <t>SK Sebeobrany -Sambo KH</t>
  </si>
  <si>
    <t>Jaroslav Rynda FO</t>
  </si>
  <si>
    <t>TOM 3102 Koláč</t>
  </si>
  <si>
    <t>Český klub velocipedistů 1880</t>
  </si>
  <si>
    <t>Asi-milovaní</t>
  </si>
  <si>
    <t>O.S. pro zachování tradice pěstování malínského křenu</t>
  </si>
  <si>
    <t>Terezínská inicitaiva o.p.s.</t>
  </si>
  <si>
    <t>Kaňkovské sedlo, z.s.</t>
  </si>
  <si>
    <t>Jan Drchal - FO - Dobrá čajovna</t>
  </si>
  <si>
    <t>Občanské sdružení Barbora</t>
  </si>
  <si>
    <t>Spolek Malíňačky
Na Plácku 63, Malín, 284 01 Kutná Hora</t>
  </si>
  <si>
    <t>Otevřená města, z.s.</t>
  </si>
  <si>
    <t xml:space="preserve"> Spolek kutnohorských podnikatelů
Kutná Hora, Hlouška, Štefánikova 92/46 </t>
  </si>
  <si>
    <t>Hlízovský unikátní spolek</t>
  </si>
  <si>
    <t>Sonnenbergské sdružení České republiky</t>
  </si>
  <si>
    <t xml:space="preserve"> Vrchlice z.s.
Kutná Hora, Hlouška, Prachňanská 77/20 </t>
  </si>
  <si>
    <t>Zenárna, z.s; Kutná Hora, Sedlec, U Nadjezdu 186</t>
  </si>
  <si>
    <t>Tomáš Švec</t>
  </si>
  <si>
    <t>Stanice pro handicap. živočich</t>
  </si>
  <si>
    <t>Zaplatílek-příspěvek</t>
  </si>
  <si>
    <t>Lesy České republiky</t>
  </si>
  <si>
    <t>Kozlík - příspěvek</t>
  </si>
  <si>
    <t>Spol. pro životní prostředí</t>
  </si>
  <si>
    <t>Příroda s.r.o. Stará Boleslav</t>
  </si>
  <si>
    <t>Okresní myslivecký spolek KH</t>
  </si>
  <si>
    <t>Orlík nad Vltavou s.r.o.</t>
  </si>
  <si>
    <t>Ekodomov OS</t>
  </si>
  <si>
    <t>úvěrový účet</t>
  </si>
  <si>
    <t>Liga na ochranu zvířat</t>
  </si>
  <si>
    <t>Jitka Rosická, Běstvina, Pařížov 10</t>
  </si>
  <si>
    <t>Willem Versteeg
Libenice 134</t>
  </si>
  <si>
    <t>Český institut inter. auditorů</t>
  </si>
  <si>
    <t>Sdružení histor. sídel ČMS</t>
  </si>
  <si>
    <t xml:space="preserve">Partnerství pro městskou mobilitu, z.s.
Olomouc, Chomoutov 388 </t>
  </si>
  <si>
    <t>Konfederace pol. vězňů</t>
  </si>
  <si>
    <t>Reg.rozv.agen. Stř.Čechy</t>
  </si>
  <si>
    <t>Památková komora-příspěvek</t>
  </si>
  <si>
    <t>Čes-Bel-Luc obch.komora</t>
  </si>
  <si>
    <t>Výcviková základna KH</t>
  </si>
  <si>
    <t>Sbor křesťanského společ.</t>
  </si>
  <si>
    <t>Českobratrs.církev evangelická</t>
  </si>
  <si>
    <t>P. Souček - klub PTP KH</t>
  </si>
  <si>
    <t>Nadační fond Gymnázia KH</t>
  </si>
  <si>
    <t>Farní sbor - česk.cirkve evangelické</t>
  </si>
  <si>
    <t>MUDr. Petra Běhounková</t>
  </si>
  <si>
    <t>SOU řemesel KH</t>
  </si>
  <si>
    <t>Gymnazium Kutná Hora</t>
  </si>
  <si>
    <t>Okresní hosp. komora Čáslav</t>
  </si>
  <si>
    <t>Komunitní plán-soc.odbor</t>
  </si>
  <si>
    <t>Kostnická jednota K. Hora</t>
  </si>
  <si>
    <t>Evropský parlament mládeže</t>
  </si>
  <si>
    <t>HOLIDAY WORLD</t>
  </si>
  <si>
    <t>Asistence lokálního partnerství (hrazeno Úřadu vlády)</t>
  </si>
  <si>
    <t>Dotace na sociální práce</t>
  </si>
  <si>
    <t>Výkon pěstounské péče</t>
  </si>
  <si>
    <t>Služby a sociální integrace</t>
  </si>
  <si>
    <t>SYSTÉMOVÁ PODPORA ROZVOJE MEZIOBECNÍ SPOLUPRÁCE V ČR</t>
  </si>
  <si>
    <t xml:space="preserve">Prevence kriminality </t>
  </si>
  <si>
    <t>SPOD - program C2</t>
  </si>
  <si>
    <t>prevence kriminality - "Dělejme to společně" - 2015</t>
  </si>
  <si>
    <t>prevence kriminality - "Společně pro dobou budoucnost" 2015</t>
  </si>
  <si>
    <t>PPK - Kutná Hora - Změň se</t>
  </si>
  <si>
    <t>APK - roku 2017-2020</t>
  </si>
  <si>
    <t>Podpora procesu plánování a soc.služeb v KH OP Zaměstanost</t>
  </si>
  <si>
    <t>Opatrovnictví</t>
  </si>
  <si>
    <t>Kamerový systém</t>
  </si>
  <si>
    <t>CONEX/Veolia</t>
  </si>
  <si>
    <t>Společnost železniční Č.Třebov</t>
  </si>
  <si>
    <t>Z.Horák</t>
  </si>
  <si>
    <t>OWHC Canada</t>
  </si>
  <si>
    <t>WC U Žáby - park pod VD</t>
  </si>
  <si>
    <t>WC Zánecká ulice (Sedlec)</t>
  </si>
  <si>
    <t>Tylovo divadlo</t>
  </si>
  <si>
    <t>Průvodcovská služba</t>
  </si>
  <si>
    <t>Mezinárodní kytarová soutěž</t>
  </si>
  <si>
    <t>Kytarová noc</t>
  </si>
  <si>
    <t>Ples města</t>
  </si>
  <si>
    <t>Ohňostroj</t>
  </si>
  <si>
    <t>Svatováclavské slavnosti</t>
  </si>
  <si>
    <t>MTD Hudební festival KH</t>
  </si>
  <si>
    <t>MŠ Kutná Hora</t>
  </si>
  <si>
    <t>MŠ Pohádka</t>
  </si>
  <si>
    <t>MŠ Benešova ul.</t>
  </si>
  <si>
    <t>ZŠ Kamenná stezka</t>
  </si>
  <si>
    <t>ZŠ Žižkov-Eger</t>
  </si>
  <si>
    <t>Infrastruktura škol - 2018 od projektu upuštěno</t>
  </si>
  <si>
    <t>Nemocnice PO</t>
  </si>
  <si>
    <t>ZŠ J.Palacha</t>
  </si>
  <si>
    <t>Pivovar</t>
  </si>
  <si>
    <t>VHS Vrchlice-Maleč</t>
  </si>
  <si>
    <t>KIC</t>
  </si>
  <si>
    <t>Nemocnice s.r.o.</t>
  </si>
  <si>
    <t>Náklady na přípravu k Nemocnic</t>
  </si>
  <si>
    <t>Správa majetku města</t>
  </si>
  <si>
    <t>Sparta Kutná Hora, a.s.</t>
  </si>
  <si>
    <t>Zrušená Nemocnice KH s.r.o.</t>
  </si>
  <si>
    <t>Církevní gymnazium sv.Voršily</t>
  </si>
  <si>
    <t>Římskokatolická farnost Kutná Hora - Sedlec</t>
  </si>
  <si>
    <t>Římskokatolická farnost - arciděkanství Kutná Hora</t>
  </si>
  <si>
    <t>Náboženská obec Církve československé husitské v Kutné Hoře</t>
  </si>
  <si>
    <t>Nemocnice záměr prodat,pronáje</t>
  </si>
  <si>
    <t>Účet IPB - úvěr</t>
  </si>
  <si>
    <t>Sociální fond</t>
  </si>
  <si>
    <t>Kancelář tajemníka</t>
  </si>
  <si>
    <t>Zastupitelské orgány</t>
  </si>
  <si>
    <t>Informatika</t>
  </si>
  <si>
    <t>Vnitřní správa</t>
  </si>
  <si>
    <t>Interní audit</t>
  </si>
  <si>
    <t>Odbor obrany</t>
  </si>
  <si>
    <t>Odbor ekonomický</t>
  </si>
  <si>
    <t>Daně a poplatky</t>
  </si>
  <si>
    <t>Příspěvkové organizace</t>
  </si>
  <si>
    <t>Mzdy-svatby</t>
  </si>
  <si>
    <t>Požární ochrana</t>
  </si>
  <si>
    <t>Volby do zastupitel. krajů</t>
  </si>
  <si>
    <t>Poplatky platební terminál Radnická</t>
  </si>
  <si>
    <t>Ceniny-kolky</t>
  </si>
  <si>
    <t>Konsolidace IT r.14-15</t>
  </si>
  <si>
    <t>OWHC CEER – mezinárodní projekt škol</t>
  </si>
  <si>
    <t>Specifické informační a komunikační systémy a infrastruktura II. Technologické centrum ORP KH. Dotace 2017-2018. Inv. a neinv. dotace EU, MMR ČR.</t>
  </si>
  <si>
    <t>Zavedení strategického řízení MěÚ KH. Neinv. dotace ESF, MPSV ČR s UZ 13013 v r. 2017.</t>
  </si>
  <si>
    <t xml:space="preserve">Harmonizaci Základních Sídelních Jednotek – SLDB 2021 </t>
  </si>
  <si>
    <t>Sčítání lidí, domů a bytů 2021</t>
  </si>
  <si>
    <t>Chytré město, procesní řízení</t>
  </si>
  <si>
    <t>Cena za měření z pokut VP Inve</t>
  </si>
  <si>
    <t>Vedení MÚ</t>
  </si>
  <si>
    <t>Odbor doprava-dotace</t>
  </si>
  <si>
    <t>SAPARD</t>
  </si>
  <si>
    <t>Mikroregion Kutnohorsko</t>
  </si>
  <si>
    <t>Sociální odbor</t>
  </si>
  <si>
    <t>Odbor dopravy</t>
  </si>
  <si>
    <t>Silniční hospodářství</t>
  </si>
  <si>
    <t>Dok.cet. ruch k LIMITCE</t>
  </si>
  <si>
    <t>Královská procházka</t>
  </si>
  <si>
    <t>Odbor regionálního rozvoje</t>
  </si>
  <si>
    <t>Odbor životního prostředí</t>
  </si>
  <si>
    <t>Použití výtěžku VHP</t>
  </si>
  <si>
    <t>Rekultivace</t>
  </si>
  <si>
    <t>Tříděný odpad</t>
  </si>
  <si>
    <t>Sběrný dvůr</t>
  </si>
  <si>
    <t>Útulek pro psy</t>
  </si>
  <si>
    <t>objemný odpad</t>
  </si>
  <si>
    <t>Oslava sv.Barbory</t>
  </si>
  <si>
    <t>Oslavy UNESCO</t>
  </si>
  <si>
    <t>Osadní výbory</t>
  </si>
  <si>
    <t>Ceny města KH</t>
  </si>
  <si>
    <t>Sdělovací prostředky</t>
  </si>
  <si>
    <t>Odbor kultury</t>
  </si>
  <si>
    <t>Videofilm studio</t>
  </si>
  <si>
    <t>Sbor pro obč. zálež.SPOZ</t>
  </si>
  <si>
    <t>Umělecké soubory</t>
  </si>
  <si>
    <t>Příspěvky pro kulturu</t>
  </si>
  <si>
    <t>Kronika</t>
  </si>
  <si>
    <t>Ostatní kultura</t>
  </si>
  <si>
    <t>Probouzení Kutné Hory</t>
  </si>
  <si>
    <t>Kutnohorské léto</t>
  </si>
  <si>
    <t>Propagace</t>
  </si>
  <si>
    <t>Kutnohorské listy</t>
  </si>
  <si>
    <t>Kutnohorský dekret</t>
  </si>
  <si>
    <t>Výročí J.K.Tyla</t>
  </si>
  <si>
    <t>Sociální pomoc ROD</t>
  </si>
  <si>
    <t>Soc. příspěvek DIA</t>
  </si>
  <si>
    <t>Soc. DP kapesné</t>
  </si>
  <si>
    <t>Soc. jednorázová FV</t>
  </si>
  <si>
    <t>Klub důchodců</t>
  </si>
  <si>
    <t>Soc. jiná nemoc</t>
  </si>
  <si>
    <t>Soc. blízká osoba důchodci</t>
  </si>
  <si>
    <t>Soc. příspěvek nezaměstnaným</t>
  </si>
  <si>
    <t>Soc. ORT, zdrav. postižení</t>
  </si>
  <si>
    <t>Soc. krmivo pro slep. psa</t>
  </si>
  <si>
    <t>Soc. individuální doprava</t>
  </si>
  <si>
    <t>Soc. provoz telef. stanice</t>
  </si>
  <si>
    <t>Soc. dálniční známka</t>
  </si>
  <si>
    <t>Soc. blízká osoba děti</t>
  </si>
  <si>
    <t>Vystavení ZTP</t>
  </si>
  <si>
    <t>Soc.přísp. na nákup a opr. MV</t>
  </si>
  <si>
    <t>Soc. přísp. na benzín</t>
  </si>
  <si>
    <t>Soc. přísp. na úpravu bytu</t>
  </si>
  <si>
    <t>Soc. přísp. na nákup pomůcek</t>
  </si>
  <si>
    <t>Soc. přísp. na výživu</t>
  </si>
  <si>
    <t>Soc. společ.nepřizpůsobení</t>
  </si>
  <si>
    <t>Soc. potřební-staří občané</t>
  </si>
  <si>
    <t>Soc. přisp. při péči o osobu b</t>
  </si>
  <si>
    <t>Soc.přísp. na zvýšené živ. nák</t>
  </si>
  <si>
    <t>Soc. přísp. na už.bezbar. bytu</t>
  </si>
  <si>
    <t>Soc.přísp. - okamžitá pomoc</t>
  </si>
  <si>
    <t>Soc. příspěvek na živobytí</t>
  </si>
  <si>
    <t>Soc. přísp. doplatek bydlení</t>
  </si>
  <si>
    <t>Dokumentace památek</t>
  </si>
  <si>
    <t>Odbor památkové péče</t>
  </si>
  <si>
    <t>Dny evropského dědictví</t>
  </si>
  <si>
    <t>Enegetické štítky</t>
  </si>
  <si>
    <t>Bud.spol.vlastn.-vratka příjmů</t>
  </si>
  <si>
    <t>Automaty TS</t>
  </si>
  <si>
    <t>Výdaje byty</t>
  </si>
  <si>
    <t>Dorotovič-postoup.pohl. ze SMM</t>
  </si>
  <si>
    <t>Náhr.ubyt. neplatičů</t>
  </si>
  <si>
    <t>Poplatek za vymáhání pohledáve</t>
  </si>
  <si>
    <t>Poplatek za uvolnění</t>
  </si>
  <si>
    <t>Sídliště Šipší přeznačení</t>
  </si>
  <si>
    <t>Odpadkové koše</t>
  </si>
  <si>
    <t>Odbor správy majetku</t>
  </si>
  <si>
    <t>Odd. majetkové</t>
  </si>
  <si>
    <t>Odd. bytové</t>
  </si>
  <si>
    <t>Odd. technické</t>
  </si>
  <si>
    <t>Odd. památek</t>
  </si>
  <si>
    <t>Odd. rozvoj a investice</t>
  </si>
  <si>
    <t>Výdaje v priv. domech</t>
  </si>
  <si>
    <t>Nezprivatizované byty - ostatní služby</t>
  </si>
  <si>
    <t>Výdaje nebyty</t>
  </si>
  <si>
    <t>Slavnostní osvětlení</t>
  </si>
  <si>
    <t>Fond regenerace</t>
  </si>
  <si>
    <t>Plán odpadového hospodářství</t>
  </si>
  <si>
    <t>Tříděný odpad MVE</t>
  </si>
  <si>
    <t>Veřejná zeleň</t>
  </si>
  <si>
    <t>Odpad: bioodpadky</t>
  </si>
  <si>
    <t>Odpad: uliční smetky</t>
  </si>
  <si>
    <t>Výdaje na VPP</t>
  </si>
  <si>
    <t>Poj.události,živelní pohromy</t>
  </si>
  <si>
    <t>Poj. události krádeže, poškoze</t>
  </si>
  <si>
    <t>Poplatek za umístění psa - v Záchytné stanici pro psy</t>
  </si>
  <si>
    <t>Platba pohl. CMSS za obyv.</t>
  </si>
  <si>
    <t>Komunální odpad MVE</t>
  </si>
  <si>
    <t>Komunální odpad TS</t>
  </si>
  <si>
    <t>Krajani z Kazachstánu</t>
  </si>
  <si>
    <t>Veřejné osvětlení Královské procházky KH</t>
  </si>
  <si>
    <t>Mylné platby</t>
  </si>
  <si>
    <t>Výdaje na volby (FV)</t>
  </si>
  <si>
    <t>24 b.j. II./jistina</t>
  </si>
  <si>
    <t>Úrok ČS 32 - 5 investičních akcí</t>
  </si>
  <si>
    <t>Úrok KB 94 - investiční akce 2016</t>
  </si>
  <si>
    <t xml:space="preserve">Úrok ČS 150 - investiční akce </t>
  </si>
  <si>
    <t>Úroku ČS 40</t>
  </si>
  <si>
    <t>Úroku ČS 20</t>
  </si>
  <si>
    <t>Úrok ČS překl.</t>
  </si>
  <si>
    <t>Úrok ČS Benešova ul. 16,5</t>
  </si>
  <si>
    <t>Úrok ČS kontokorent 15</t>
  </si>
  <si>
    <t>Úrok ČS invest. 17,7 M Nemocni</t>
  </si>
  <si>
    <t>Úrok ČS 20 Nemocnice</t>
  </si>
  <si>
    <t>Úrok ČS 9,82 12 b.j.</t>
  </si>
  <si>
    <t>Úrok ČS 30 NsAČ</t>
  </si>
  <si>
    <t>Úrok ČS 33,6 bazény</t>
  </si>
  <si>
    <t>Úrok ČS 14 TEBIS</t>
  </si>
  <si>
    <t>Úrok ČS parkoviště Klimeška</t>
  </si>
  <si>
    <t>Úrok ČS 20 Benešova, Litis</t>
  </si>
  <si>
    <t>Úrok ČS 21 mil. inv. Akce</t>
  </si>
  <si>
    <t>Úrok ČS 10,5</t>
  </si>
  <si>
    <t>Úrok ČS 30,6 mil. inv.akce</t>
  </si>
  <si>
    <t>Úrok ČS hřiště TGM</t>
  </si>
  <si>
    <t>Úrok ČS sídliště Šipší</t>
  </si>
  <si>
    <t>Úrok ČS 16mil. Kč Nemocnice</t>
  </si>
  <si>
    <t>Úrok ČSOB 20</t>
  </si>
  <si>
    <t>Úrok ČSOB 10</t>
  </si>
  <si>
    <t>Úrok Kino</t>
  </si>
  <si>
    <t>ČSOB - kontokorent 5 mil. Kč</t>
  </si>
  <si>
    <t>Úrok KB Klimeška 13</t>
  </si>
  <si>
    <t>Úrok KB pivovar 16</t>
  </si>
  <si>
    <t>Úrok KB kontokorent</t>
  </si>
  <si>
    <t>Úrok KB 16 tepelné hospod.</t>
  </si>
  <si>
    <t>Úrok ČMHB Pušk.I 14,9</t>
  </si>
  <si>
    <t>Úrok ČMHB Pušk.II 18,8</t>
  </si>
  <si>
    <t>Úrok Volksbank venk. bazény</t>
  </si>
  <si>
    <t>Úrok RCI - Dacia</t>
  </si>
  <si>
    <t>úrok Škofin auto MP</t>
  </si>
  <si>
    <t>Úvěr KB 94 mil.r.2016</t>
  </si>
  <si>
    <t>úvěr ČS 150 ml na halu a inv.</t>
  </si>
  <si>
    <t>Úvěr ČS 40</t>
  </si>
  <si>
    <t>Úvěr ČS 20</t>
  </si>
  <si>
    <t>Úvěr ČS překl.</t>
  </si>
  <si>
    <t>Hypot.úvěr ČS Benešova 16,5</t>
  </si>
  <si>
    <t>ČS kontokorent 15</t>
  </si>
  <si>
    <t>ČS úvěr dlouh. NsAČ 17,7</t>
  </si>
  <si>
    <t>ČS 20 úvěr Nemocnice</t>
  </si>
  <si>
    <t>Úvěr ČS 9,82 12 b.j.</t>
  </si>
  <si>
    <t>ČS 30ml úvěr NsAČ</t>
  </si>
  <si>
    <t>ČS33,6 bazény -přeúvěr.z VBan</t>
  </si>
  <si>
    <t>ČS 14 TEBIS</t>
  </si>
  <si>
    <t>ČS z 15 ml parkoviště Klimeška</t>
  </si>
  <si>
    <t>ČS Úvěr 20ml. Kč Benešova, pozemky</t>
  </si>
  <si>
    <t>ČS Úvěr 21ml. Kč investiční akce</t>
  </si>
  <si>
    <t>ČS Úvěr 10,5ml. Kč nemocnice</t>
  </si>
  <si>
    <t>ČS Úvěr 30,6, mil. Kč</t>
  </si>
  <si>
    <t>ČS Úvěr 13 mil. Kč - Cihelna</t>
  </si>
  <si>
    <t>ČS z 15 ml sídliště Šipší</t>
  </si>
  <si>
    <t>ČS 16 mil. Kč - Nemocnice mimosoudní vyrovnání</t>
  </si>
  <si>
    <t>Úvěr ČSOB 20</t>
  </si>
  <si>
    <t>Úvěr ČSOB 10</t>
  </si>
  <si>
    <t>Úvěr Kino</t>
  </si>
  <si>
    <t>Kontokorent ČSOB</t>
  </si>
  <si>
    <t>SF ŽP</t>
  </si>
  <si>
    <t>Úvěr KB Klimeška 13</t>
  </si>
  <si>
    <t>Úvěr KB pivovar 16</t>
  </si>
  <si>
    <t>Úvěr KB kontokorent</t>
  </si>
  <si>
    <t>Úvěr KB 16 tepelné hospod.</t>
  </si>
  <si>
    <t>Úvěr ČMHB Pušk.I 14,9</t>
  </si>
  <si>
    <t>Úvěr.ČMHB Pušk.II 18,8</t>
  </si>
  <si>
    <t>Úvěr Vbank bazény- od 3/06 ČS</t>
  </si>
  <si>
    <t>úvěr  RCI s.r.auto 231,30 tis.</t>
  </si>
  <si>
    <t>úvěr Škofin auto MP 200 545,-</t>
  </si>
  <si>
    <t>Vlašský dvůr-dlažba nádv.limit</t>
  </si>
  <si>
    <t>Kamerový systém-rozš.o 2 body</t>
  </si>
  <si>
    <t>kamerový systém města-limitka</t>
  </si>
  <si>
    <t>Kamerový mon.systém-limit</t>
  </si>
  <si>
    <t>Informační výstražný systém</t>
  </si>
  <si>
    <t>Dokumentace cestovní ruch</t>
  </si>
  <si>
    <t>Územní energet.koncepce-limit</t>
  </si>
  <si>
    <t>Rekonstrukce hřiště SOKOL</t>
  </si>
  <si>
    <t>Rekonstr.hřiště Sparta ČKD-LIM</t>
  </si>
  <si>
    <t>Opěrná zeď Kouřimská-limit</t>
  </si>
  <si>
    <t>MŠ Pohádka rekonstrukce-limitk</t>
  </si>
  <si>
    <t>ZŠ TGM - limitka okna</t>
  </si>
  <si>
    <t>Šk družina ZŠ Žižkov - limitka</t>
  </si>
  <si>
    <t>výměna oken a dveří ZŠ TGM lim</t>
  </si>
  <si>
    <t>Dotace vojenské hroby</t>
  </si>
  <si>
    <t>Limitka - kamerový systém</t>
  </si>
  <si>
    <t>Dotace byty Puškinská</t>
  </si>
  <si>
    <t>Akreditace PZ Na Rovinách</t>
  </si>
  <si>
    <t>Staveb. rekonstr. ZS - limitka</t>
  </si>
  <si>
    <t>Dotace záchrana architek.dědic</t>
  </si>
  <si>
    <t>Limitka- PO NsAČ</t>
  </si>
  <si>
    <t>Dotace NsAČ</t>
  </si>
  <si>
    <t>Venkovní bazény-přístavba</t>
  </si>
  <si>
    <t>13 soch u Jezuit.koleje-limitk</t>
  </si>
  <si>
    <t>Rek.6 b.j. Vojtěšská - SFRB</t>
  </si>
  <si>
    <t>Výstavba 12 b.j. - SFRB</t>
  </si>
  <si>
    <t>Staveb. úpravy 10 b.j.-limitk</t>
  </si>
  <si>
    <t>Odbor správní - Bc. Haroková</t>
  </si>
  <si>
    <t>Stavební úřad - Ing.arch. Jukl</t>
  </si>
  <si>
    <t>MP - investiční výdaje</t>
  </si>
  <si>
    <t>MŠ Trebišovská</t>
  </si>
  <si>
    <t>Centrum sociálních služeb</t>
  </si>
  <si>
    <t>Zelenkova vila čp.453</t>
  </si>
  <si>
    <t xml:space="preserve">MŠ Trebišovská 611 </t>
  </si>
  <si>
    <t xml:space="preserve">Chodníky Malín nadjezd </t>
  </si>
  <si>
    <t>VO ulice Za Biřictvím</t>
  </si>
  <si>
    <t>VO Čechova</t>
  </si>
  <si>
    <t>VO Karlov V Zákoutí</t>
  </si>
  <si>
    <t xml:space="preserve">VO Brandlova </t>
  </si>
  <si>
    <t>Doprava - provozování stanice měření emisí</t>
  </si>
  <si>
    <t>Respondeo z.s.</t>
  </si>
  <si>
    <t>Diakonie Českobratrské Církve Evangelické</t>
  </si>
  <si>
    <t>Wiliem Versteeg FO Česká 1</t>
  </si>
  <si>
    <t xml:space="preserve">Přátelé akordeonu </t>
  </si>
  <si>
    <t>Nadační fond na záchranu a rozvoj kulturního dědictví města Čáslavě - IČ: 25740326 - 5229</t>
  </si>
  <si>
    <t>7 Friday Week s.r.o. (Bar 22)</t>
  </si>
  <si>
    <t>Roman Segiň Ro/c/k 2002</t>
  </si>
  <si>
    <t>Mgr. Ladislav Exner sídlem Jungmannovo náměstí 440/11 , 284 01 Kutná Hora  IČO:  41437632 Bank. spojení: 2700153111/2010, Fio banka, a.s.</t>
  </si>
  <si>
    <t>TJ Sokol Malín z.s. - stolní tenic</t>
  </si>
  <si>
    <t>Talent Bike spolek;  zastoupený paní předsedkyní Světlanou Sovovou; sídlem Pod Tratí 105, Kutná Hora, Vrchlice, 28401</t>
  </si>
  <si>
    <t>Dětská herna Amálka</t>
  </si>
  <si>
    <t>Termínovaný vklad KB</t>
  </si>
  <si>
    <t>brandejska@mu.kutnahora.cz</t>
  </si>
  <si>
    <t>harokova@mu.kutnahora.cz</t>
  </si>
  <si>
    <t>jukl@mu.kutnahora.cz</t>
  </si>
  <si>
    <t>bulankova@mu.kutnahora.cz</t>
  </si>
  <si>
    <t>tel: 327 710 151</t>
  </si>
  <si>
    <t>tel: 327 710 140</t>
  </si>
  <si>
    <t>cermak@mu.kutnahora.cz</t>
  </si>
  <si>
    <t>tel: 327 710 115</t>
  </si>
  <si>
    <t>malichova@mu.kutnahora.cz</t>
  </si>
  <si>
    <t>tel: 327 710 145</t>
  </si>
  <si>
    <t>gregorova@mu.kutnahora.cz</t>
  </si>
  <si>
    <t>tel: 327 710 172</t>
  </si>
  <si>
    <t xml:space="preserve">hermanova@mu.kutnahora.cz </t>
  </si>
  <si>
    <t>tel: 327 710 180</t>
  </si>
  <si>
    <t>jelinkova@mu.kutnahora.cz</t>
  </si>
  <si>
    <t>tel: 327 710 206</t>
  </si>
  <si>
    <t>tel: 327 710 155</t>
  </si>
  <si>
    <t>marecek@mu.kutnahora.cz</t>
  </si>
  <si>
    <t>tel: 327 710 131</t>
  </si>
  <si>
    <t>gygalova@mu.kutnahora.cz</t>
  </si>
  <si>
    <t>tel: 327 710 340</t>
  </si>
  <si>
    <t>tel: 327 710 165</t>
  </si>
  <si>
    <t>icvedouci@mu.kutnahora.cz</t>
  </si>
  <si>
    <t xml:space="preserve">tel: 327 516 710 </t>
  </si>
  <si>
    <t>tel: 327 710 226</t>
  </si>
  <si>
    <t>kotlar@mu.kutnahora.cz</t>
  </si>
  <si>
    <t>tel: 327 710 245</t>
  </si>
  <si>
    <t>tel: 327 710 185</t>
  </si>
  <si>
    <t>tel: 327 710 235</t>
  </si>
  <si>
    <t>horynova@mu.kutnahora.cz</t>
  </si>
  <si>
    <t>tel: 327 710 234</t>
  </si>
  <si>
    <t xml:space="preserve">slesingr@mu.kutnahora.cz </t>
  </si>
  <si>
    <t xml:space="preserve">tel: 327 710 285 </t>
  </si>
  <si>
    <t>Služby - vánoční stánky</t>
  </si>
  <si>
    <t>MP - pojištění</t>
  </si>
  <si>
    <t>Poplatky za vedení účtů a platební terminály</t>
  </si>
  <si>
    <t>Doprava - komunikace, parkoviště, chodníky</t>
  </si>
  <si>
    <t xml:space="preserve">Dětské hřiště </t>
  </si>
  <si>
    <t>Galerie F.J. - provozní příspěvek</t>
  </si>
  <si>
    <t>MTD - provozní příspěvek</t>
  </si>
  <si>
    <t>Smart city Manažer</t>
  </si>
  <si>
    <t>OSVZ - hodnotitelé - služby</t>
  </si>
  <si>
    <t>ZS Sršni - pronájem kabin</t>
  </si>
  <si>
    <t>DzN - pozemky mimo KÚ Kutná Hora</t>
  </si>
  <si>
    <t xml:space="preserve">Rozpočtová rezerva </t>
  </si>
  <si>
    <t>T.J. Sokol Kutná Hora - provoz</t>
  </si>
  <si>
    <r>
      <t xml:space="preserve">Byty </t>
    </r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-po splatnosti</t>
    </r>
  </si>
  <si>
    <r>
      <t xml:space="preserve">Nebytové prostory - </t>
    </r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po splatnosti</t>
    </r>
  </si>
  <si>
    <r>
      <t xml:space="preserve">Nebytové prostory - </t>
    </r>
    <r>
      <rPr>
        <b/>
        <sz val="11"/>
        <color theme="1"/>
        <rFont val="Calibri"/>
        <family val="2"/>
        <charset val="238"/>
        <scheme val="minor"/>
      </rPr>
      <t>nájemné</t>
    </r>
    <r>
      <rPr>
        <sz val="11"/>
        <color theme="1"/>
        <rFont val="Calibri"/>
        <family val="2"/>
        <charset val="238"/>
        <scheme val="minor"/>
      </rPr>
      <t xml:space="preserve"> po splatnosti</t>
    </r>
  </si>
  <si>
    <r>
      <t xml:space="preserve">Byty </t>
    </r>
    <r>
      <rPr>
        <b/>
        <sz val="11"/>
        <color theme="1"/>
        <rFont val="Calibri"/>
        <family val="2"/>
        <charset val="238"/>
        <scheme val="minor"/>
      </rPr>
      <t>nájem</t>
    </r>
    <r>
      <rPr>
        <sz val="11"/>
        <color theme="1"/>
        <rFont val="Calibri"/>
        <family val="2"/>
        <charset val="238"/>
        <scheme val="minor"/>
      </rPr>
      <t xml:space="preserve"> - po splatnosti</t>
    </r>
  </si>
  <si>
    <t>Monitorování těžkých kovů - VPS</t>
  </si>
  <si>
    <t>Dačický dům - platy</t>
  </si>
  <si>
    <t>Klimeška - platy</t>
  </si>
  <si>
    <t>Olympia - platy</t>
  </si>
  <si>
    <t>Sokolovna Malín - platy</t>
  </si>
  <si>
    <t>Vnitřní správa - platy</t>
  </si>
  <si>
    <t>MP - platy</t>
  </si>
  <si>
    <t>ZM - odměny členům zastupitelstva</t>
  </si>
  <si>
    <t>Sk 2020</t>
  </si>
  <si>
    <t>skutečnost 2020</t>
  </si>
  <si>
    <r>
      <rPr>
        <b/>
        <sz val="11"/>
        <color theme="1"/>
        <rFont val="Calibri"/>
        <family val="2"/>
        <charset val="238"/>
        <scheme val="minor"/>
      </rPr>
      <t>SPOD</t>
    </r>
    <r>
      <rPr>
        <sz val="11"/>
        <color theme="1"/>
        <rFont val="Calibri"/>
        <family val="2"/>
        <charset val="238"/>
        <scheme val="minor"/>
      </rPr>
      <t xml:space="preserve"> - dotace</t>
    </r>
  </si>
  <si>
    <t>Sběrný dvůr - přefakturace energií</t>
  </si>
  <si>
    <t>Nebyt.prostr. - pojistné náhrady</t>
  </si>
  <si>
    <t>Skutečnost 2020</t>
  </si>
  <si>
    <t>Radar - materiál</t>
  </si>
  <si>
    <t>OPZ proces sociálního plánování výdaje vč.dotace</t>
  </si>
  <si>
    <t>Komunitní plán - výdaje</t>
  </si>
  <si>
    <r>
      <t xml:space="preserve">IOP - </t>
    </r>
    <r>
      <rPr>
        <b/>
        <sz val="11"/>
        <rFont val="Calibri"/>
        <family val="2"/>
        <charset val="238"/>
        <scheme val="minor"/>
      </rPr>
      <t xml:space="preserve">udržitelnost OSP (r.2020) </t>
    </r>
  </si>
  <si>
    <t xml:space="preserve">SK 2020 </t>
  </si>
  <si>
    <r>
      <t xml:space="preserve">Městská knihovna - dotace, </t>
    </r>
    <r>
      <rPr>
        <b/>
        <sz val="11"/>
        <rFont val="Calibri"/>
        <family val="2"/>
        <charset val="238"/>
        <scheme val="minor"/>
      </rPr>
      <t>spoluúčast (různé ÚZ)</t>
    </r>
  </si>
  <si>
    <t>zz - ostatní výdaje minulých let</t>
  </si>
  <si>
    <t>zz-ostatní nezařazené výdaje</t>
  </si>
  <si>
    <t>RADAR - zpracování dat</t>
  </si>
  <si>
    <t>RADAR - služby pošt</t>
  </si>
  <si>
    <t>RADAR - nájem</t>
  </si>
  <si>
    <t xml:space="preserve">RADAR - služby </t>
  </si>
  <si>
    <t>Pořízení plánu ÚSES pr ORP Kutná Hora</t>
  </si>
  <si>
    <t>Vnitřní správa - investiční výdaje</t>
  </si>
  <si>
    <t>Zachování památek - dotace</t>
  </si>
  <si>
    <t>Sportoviště - investice</t>
  </si>
  <si>
    <t>tel: 327 710 107</t>
  </si>
  <si>
    <t>hotovcova@mu.kutnahora.cz</t>
  </si>
  <si>
    <t>Sdružení tajemníků ČR</t>
  </si>
  <si>
    <t>TJ Sparta Kutná Hora, z.s. -vratka vyúčtování dotace</t>
  </si>
  <si>
    <t>Optické kabely - T-mobile</t>
  </si>
  <si>
    <t>Sankturinovský dům vč. dotace</t>
  </si>
  <si>
    <t>Koordinátor veř. dopravy</t>
  </si>
  <si>
    <t>Vratka pokuty - památky</t>
  </si>
  <si>
    <t>Klimeška - OSA</t>
  </si>
  <si>
    <t>ZS -podlimitní technické zhodnocení</t>
  </si>
  <si>
    <t>Klimeška - lékárnička</t>
  </si>
  <si>
    <t>Klimeška - služby pen. ústavů</t>
  </si>
  <si>
    <t>Hřiště Sokolák - vyúčtování</t>
  </si>
  <si>
    <t>Olympia - narovnání plateb 2020</t>
  </si>
  <si>
    <t>Bytové domy, služby-prohláš.vlastníka</t>
  </si>
  <si>
    <t>Vl.dvůr - podlimitní TZ (do 40tis.Kč)</t>
  </si>
  <si>
    <t>Nebyt. prostory - DrHDM</t>
  </si>
  <si>
    <t>Vl.dvůr - materiál</t>
  </si>
  <si>
    <t>Cihelna - materiál</t>
  </si>
  <si>
    <t>ČEZ přípojky - podíl nákladů</t>
  </si>
  <si>
    <t>Spol. prostory-podlimitní TZ</t>
  </si>
  <si>
    <t>Komunální služby - obsluha</t>
  </si>
  <si>
    <t>Soudní náklady - pozemky</t>
  </si>
  <si>
    <t>MP - léky a zdravotnický materiál</t>
  </si>
  <si>
    <t>Právní služby (smlouva)</t>
  </si>
  <si>
    <t>Rezerva odd. person a krizové</t>
  </si>
  <si>
    <t>tel: 327 710 308</t>
  </si>
  <si>
    <t>Oddělení zastupitelských orgánů - pí Tivodarová</t>
  </si>
  <si>
    <t>Městská policie - Mgr., Ing. Mareček, Dis.</t>
  </si>
  <si>
    <t>Odbor ekonomický - Oddělení daní a poplatků - Bc. Malichová</t>
  </si>
  <si>
    <t xml:space="preserve">Odbor ekonomický - Ing. Bulánková  </t>
  </si>
  <si>
    <t>Oddělení informatiky - Ing. Čermák</t>
  </si>
  <si>
    <t>Oddělení personální a krizového řízení - Mgr. Hotovcová</t>
  </si>
  <si>
    <t>stolbova@mu.kutnahora.cz</t>
  </si>
  <si>
    <t>tivodarova@mu.kutnahora.cz</t>
  </si>
  <si>
    <t>tel: 327 710 104</t>
  </si>
  <si>
    <t xml:space="preserve">Příjmy z úroků </t>
  </si>
  <si>
    <t>SPR - Nahlížení do matrik</t>
  </si>
  <si>
    <t>SPR - Provedení identifikace osob</t>
  </si>
  <si>
    <t>SPR - ukončení trv.pobytu území ČR</t>
  </si>
  <si>
    <t>IC - "pronájem stánků"</t>
  </si>
  <si>
    <t>IC -  "pronájem budek"</t>
  </si>
  <si>
    <t>IC - transakční účet příjmy/odvody za vstupenky</t>
  </si>
  <si>
    <t xml:space="preserve">FV - Dotace </t>
  </si>
  <si>
    <t>Ostatní nedaňové příjmy j.n. (vč. fin.vypořádání)</t>
  </si>
  <si>
    <t>Czech Point  - Autorizovaná konverze</t>
  </si>
  <si>
    <t>Poplatky a odvody za odnětí půdy ze zem.půdního fondu</t>
  </si>
  <si>
    <t>Daň z hazardních her 30%</t>
  </si>
  <si>
    <t>Úrok z úvěru  ČS (150 mil.)</t>
  </si>
  <si>
    <t>Adventní trhy - příjmy ze služeb</t>
  </si>
  <si>
    <t>Adventní trhy - pronájem</t>
  </si>
  <si>
    <t>Areál Klimeška - prodej zboží</t>
  </si>
  <si>
    <t>Areál Klimeška - movité věci</t>
  </si>
  <si>
    <r>
      <t xml:space="preserve">Ubytovna Trebišovská - </t>
    </r>
    <r>
      <rPr>
        <b/>
        <sz val="11"/>
        <color theme="1"/>
        <rFont val="Calibri"/>
        <family val="2"/>
        <charset val="238"/>
        <scheme val="minor"/>
      </rPr>
      <t>ubytování</t>
    </r>
    <r>
      <rPr>
        <sz val="11"/>
        <color theme="1"/>
        <rFont val="Calibri"/>
        <family val="2"/>
        <charset val="238"/>
        <scheme val="minor"/>
      </rPr>
      <t xml:space="preserve"> po splatnosti </t>
    </r>
  </si>
  <si>
    <t>x</t>
  </si>
  <si>
    <r>
      <t>Pojistné a jiné náhrady, dary, pokuty (</t>
    </r>
    <r>
      <rPr>
        <b/>
        <sz val="11"/>
        <color theme="1"/>
        <rFont val="Calibri"/>
        <family val="2"/>
        <charset val="238"/>
        <scheme val="minor"/>
      </rPr>
      <t>pol.2322; 2324; 3121</t>
    </r>
    <r>
      <rPr>
        <sz val="11"/>
        <color theme="1"/>
        <rFont val="Calibri"/>
        <family val="2"/>
        <charset val="238"/>
        <scheme val="minor"/>
      </rPr>
      <t>)</t>
    </r>
  </si>
  <si>
    <t>Pokuty, náklady řízení, náhrady, ost.příjmy v min.letech</t>
  </si>
  <si>
    <t>Přij.nekapit.příspěvky,náhrady, ost. příjmy min.let</t>
  </si>
  <si>
    <t>POKUTY A NÁKLADY ŘÍZENÍ (pol. 2212; 2324)</t>
  </si>
  <si>
    <t>Ostatní příjmy, vratky, náhrady z let minulých</t>
  </si>
  <si>
    <t>Prodej - nebyty</t>
  </si>
  <si>
    <t>CR - služby  "fam a press tripy"</t>
  </si>
  <si>
    <t>CR  - věcné dary</t>
  </si>
  <si>
    <t xml:space="preserve">CR - opravy a údržba </t>
  </si>
  <si>
    <t>CR - plakáty, bannery, materiál</t>
  </si>
  <si>
    <t>CR - propagace, služby</t>
  </si>
  <si>
    <t>Zachování památek - služby EHD</t>
  </si>
  <si>
    <t>15´841 360</t>
  </si>
  <si>
    <t>14´321 810</t>
  </si>
  <si>
    <t>13´880´640</t>
  </si>
  <si>
    <t>C e l k e m   včetně DPPO za obec</t>
  </si>
  <si>
    <t>FIN bez výdaje na DPPO za obec</t>
  </si>
  <si>
    <t>13´880 640</t>
  </si>
  <si>
    <t>čp. 56 Národního odboje - fasáda</t>
  </si>
  <si>
    <t>Hrádek střecha</t>
  </si>
  <si>
    <t>Oprava opěrné zdi u Barbory</t>
  </si>
  <si>
    <t>Tylovo divadlo - oprava fasády</t>
  </si>
  <si>
    <t>CR - propagační materiál</t>
  </si>
  <si>
    <t>Pohřební služba Jeřábek - obřady a chladírna</t>
  </si>
  <si>
    <r>
      <t xml:space="preserve">Recycling - </t>
    </r>
    <r>
      <rPr>
        <b/>
        <sz val="11"/>
        <rFont val="Calibri"/>
        <family val="2"/>
        <charset val="238"/>
        <scheme val="minor"/>
      </rPr>
      <t>příspěvek</t>
    </r>
  </si>
  <si>
    <t>Veřejné osvětlení - optimalizace</t>
  </si>
  <si>
    <t>APK - sociální pojistné</t>
  </si>
  <si>
    <t>APK - zdravotní pojistné</t>
  </si>
  <si>
    <t>Podpora drobným živnostníkům</t>
  </si>
  <si>
    <t>Městská knihovna - provozní příspěvek</t>
  </si>
  <si>
    <t>SPOZ - výdaje</t>
  </si>
  <si>
    <t>IC - (autorské odměny, licence)</t>
  </si>
  <si>
    <t>IC - zboží</t>
  </si>
  <si>
    <t>IC - materiál</t>
  </si>
  <si>
    <t>IC - služby</t>
  </si>
  <si>
    <t>IC - pohoštění</t>
  </si>
  <si>
    <t>IC -  opravy a údržba</t>
  </si>
  <si>
    <t>IC - nemocenská</t>
  </si>
  <si>
    <t>IC - platy</t>
  </si>
  <si>
    <t>IC - SP</t>
  </si>
  <si>
    <t>IC - ZP</t>
  </si>
  <si>
    <t>IC - OON</t>
  </si>
  <si>
    <t>IC - telefony</t>
  </si>
  <si>
    <t>APK  - mzdy</t>
  </si>
  <si>
    <t>Oddělení památkové péče - Ing. Žáčková</t>
  </si>
  <si>
    <t>31xx</t>
  </si>
  <si>
    <t>Dotace - Pečovatelská služba - sociální služby a ostatní UZ</t>
  </si>
  <si>
    <t>Dotace - Pěstounská péče - výdaje celkem</t>
  </si>
  <si>
    <t>Dotace - Sociální práce - platy vč.odvodů</t>
  </si>
  <si>
    <t>zz - ostatní nezařazené položky a ukončené akce</t>
  </si>
  <si>
    <t>krulisova@mu.kutnahora.cz</t>
  </si>
  <si>
    <t>tel: 327 710 153</t>
  </si>
  <si>
    <t>tel: 327 710 124</t>
  </si>
  <si>
    <t>klimentova@mu.kutnahora.cz</t>
  </si>
  <si>
    <t>tel: 327 710 219</t>
  </si>
  <si>
    <t>zackova@mu.kutnahora.cz</t>
  </si>
  <si>
    <t>tel: 327 710 212</t>
  </si>
  <si>
    <t>Sbor dobrovolných hasičů - investiční výdaje - vl.podíl k dotaci</t>
  </si>
  <si>
    <t>Varovná protipovodňová opatření spoluúčast</t>
  </si>
  <si>
    <t>Ost.záležitosti kul. - služby, materiál</t>
  </si>
  <si>
    <t>CR - licence k programu</t>
  </si>
  <si>
    <t>Sankturinovský dům OOV /neuznatelné náklady</t>
  </si>
  <si>
    <t xml:space="preserve">Doprava - komunikace, parkoviště, chodníky </t>
  </si>
  <si>
    <t>Právní posudky</t>
  </si>
  <si>
    <t>Spolkový dům - nemocenská</t>
  </si>
  <si>
    <t>Spolkový dům SP</t>
  </si>
  <si>
    <t>Spolkový dům ZP</t>
  </si>
  <si>
    <t>RADAR - náhrady mezd v době nemoci</t>
  </si>
  <si>
    <t xml:space="preserve">RADAR - výdaje - platy </t>
  </si>
  <si>
    <t>Cestovné</t>
  </si>
  <si>
    <t>Služby elektronických komunikací</t>
  </si>
  <si>
    <t>Chodník Táborská</t>
  </si>
  <si>
    <t>FO nepodn.- Kalát-Putovací fes</t>
  </si>
  <si>
    <t>FO nepodn.-Kalát-Cestovní fest</t>
  </si>
  <si>
    <t>FO nepodn. Kotroušová</t>
  </si>
  <si>
    <t>Puškinská č.p.206</t>
  </si>
  <si>
    <t>Klimeška - okolí</t>
  </si>
  <si>
    <t>Komunikace Liliová</t>
  </si>
  <si>
    <t>Chodník Masarykova (zv.účet ČNB)</t>
  </si>
  <si>
    <t>Kom. Kaňk - Pod Pašinkou</t>
  </si>
  <si>
    <t>Kom.  Ke Gruntě a Vavřinecká</t>
  </si>
  <si>
    <t>Komunikace U Nadjezdu</t>
  </si>
  <si>
    <t>Komunikace Karlov V Zákoutí</t>
  </si>
  <si>
    <t>Navýšení separace odpadů v KH</t>
  </si>
  <si>
    <t>Skatepark Klimeška</t>
  </si>
  <si>
    <t>Optické sítě - propojení Čra Kaňk-MERO Malín</t>
  </si>
  <si>
    <t>VO Studentů</t>
  </si>
  <si>
    <t>VO Jana Zajíce</t>
  </si>
  <si>
    <t>Napojení cyklostezky Vrchlice</t>
  </si>
  <si>
    <t>DOP- podání návrhu na zahájení řízení o určení právního vztahu podle zákona č. 634/2004 Sb., o správních poplatcích – položka 25a písm. a).</t>
  </si>
  <si>
    <t>Rozum a Cit, z. s.</t>
  </si>
  <si>
    <t>Nadační fond Barvy podzimu</t>
  </si>
  <si>
    <t xml:space="preserve">Nadační fond dr. Dagmar Lieblové
Praha 1, Nové Město, Klimentská 2061/21 </t>
  </si>
  <si>
    <t>Diakonie Broumov, s.d.</t>
  </si>
  <si>
    <t>Prožitek z.s.</t>
  </si>
  <si>
    <t>Rosa Bohemica, z.s.
Praha 5, Smíchov, Viktora Huga 377/4</t>
  </si>
  <si>
    <t>Olympia Spartan Training K.Hor</t>
  </si>
  <si>
    <t xml:space="preserve">71488995 Lukáš Kladívko
Poděbrady III, Táborského 314/7 </t>
  </si>
  <si>
    <t xml:space="preserve">76201091 Hana Bendová
Kutná Hora, Malín, Koldova 300 </t>
  </si>
  <si>
    <t xml:space="preserve">60126361 Sdružení tajemníků městských a obecních úřadů ČR, z. s.
Praha 1, Nové Město, Dlážděná 1004/6 </t>
  </si>
  <si>
    <t>Český florbal</t>
  </si>
  <si>
    <t>Církevní mateřská škola sv. Jakuba v Kutné Hoře
Kutná Hora-Vnitřní Město, Václavské náměstí 275/4641 - Školská právnická osoba IC: 71342249</t>
  </si>
  <si>
    <t>Strategická Kutná Hora</t>
  </si>
  <si>
    <t>Smart city Manager</t>
  </si>
  <si>
    <t>Projekty participativního rozpočtu</t>
  </si>
  <si>
    <t>Prohlášení vlastníka</t>
  </si>
  <si>
    <t>IC - půjčovna kol</t>
  </si>
  <si>
    <t>musí být nula!!!</t>
  </si>
  <si>
    <t>ZŠ J. Palacha - jazyková učebna - půjčka</t>
  </si>
  <si>
    <t>ZŠ J. Palacha - jazyková učebna - příspěvek</t>
  </si>
  <si>
    <t>SRP</t>
  </si>
  <si>
    <t>název</t>
  </si>
  <si>
    <t>e-mail</t>
  </si>
  <si>
    <t>telefon</t>
  </si>
  <si>
    <t>pozvat</t>
  </si>
  <si>
    <t>zavrelova@mu.kutnahora.cz</t>
  </si>
  <si>
    <t>Oddělení vnitřní správy - Bc. Helena Zavřelová</t>
  </si>
  <si>
    <t>bez vzorce</t>
  </si>
  <si>
    <t>15´841 360,00</t>
  </si>
  <si>
    <t>14´321 810,00</t>
  </si>
  <si>
    <t>Daň z příjmů fyzických osob placená plátci</t>
  </si>
  <si>
    <t>Daň z příjmů fyzických osob placená poplatníky</t>
  </si>
  <si>
    <t>Daň z příjmů fyzických osob vybíraná srážkou</t>
  </si>
  <si>
    <t>Zrušené daně, jejichž předmětem je příjem fyzických osob</t>
  </si>
  <si>
    <t>Daň z příjmů právnických osob za obce</t>
  </si>
  <si>
    <t>Daň z příjmů právnických osob za kraje</t>
  </si>
  <si>
    <t>Zrušené daně, jejichž předmětem je příjem právnických osob</t>
  </si>
  <si>
    <t>Spotřební daň z minerálních olejů</t>
  </si>
  <si>
    <t>Spotřební daň z vína a meziproduktů</t>
  </si>
  <si>
    <t>Spotřební daň z tabákových výrobků</t>
  </si>
  <si>
    <t>Poplatek za látky poškozující nebo ohrožující ozónovou vrstvu Země</t>
  </si>
  <si>
    <t>Audiovizuální poplatky</t>
  </si>
  <si>
    <t>Spotřební daň ze surového tabáku</t>
  </si>
  <si>
    <t>Spotřební daň ze zahřívaných tabákových výrobků</t>
  </si>
  <si>
    <t>Daň ze zemního plynu a některých dalších plynů</t>
  </si>
  <si>
    <t>Daň z pevných paliv</t>
  </si>
  <si>
    <t>Daň z elektřiny</t>
  </si>
  <si>
    <t>Odvod z elektřiny ze slunečního záření</t>
  </si>
  <si>
    <t>Daň z digitálních služeb</t>
  </si>
  <si>
    <t>Poplatek za užívání dálnic a rychlostních silnic</t>
  </si>
  <si>
    <t>Poplatek za vypouštění odpadních vod do vod povrchových</t>
  </si>
  <si>
    <t>Poplatky za znečišťování ovzduší</t>
  </si>
  <si>
    <t>Odvody za odnětí půdy ze zemědělského půdního fondu</t>
  </si>
  <si>
    <t>Poplatky za odnětí pozemků plněni funkcí lesa</t>
  </si>
  <si>
    <t>Poplatek za povolené vypouštění odpadních vod do vod podzemních</t>
  </si>
  <si>
    <t>Registrační a evidenční poplatky za obaly</t>
  </si>
  <si>
    <t>Ostatní poplatky a odvody v oblasti životního prostředí</t>
  </si>
  <si>
    <t>Poplatek za provoz systému shromažďování, sběru, přepravy, třídění, využívání a odstraňování komunálních odpadů</t>
  </si>
  <si>
    <t>Poplatek za užívání veřejného prostranství</t>
  </si>
  <si>
    <t>Poplatek za povolení k vjezdu do vybraných míst</t>
  </si>
  <si>
    <t>Poplatek za zhodnocení stavebního pozemku</t>
  </si>
  <si>
    <t>Příjmy za zkoušky z odborné způsobilosti od žadatelů o řidičské oprávnění</t>
  </si>
  <si>
    <t>Příjmy z licencí pro kamionovou dopravu</t>
  </si>
  <si>
    <t>Příjmy úhrad za dobývání nerostů a poplatků za geologické práce</t>
  </si>
  <si>
    <t>Poplatek za odebrané množství podzemní vody</t>
  </si>
  <si>
    <t>Poplatek za využívání zdroje přírodní minerální vody</t>
  </si>
  <si>
    <t>Ostatní odvody z vybraných činností a služeb jinde neuvedené</t>
  </si>
  <si>
    <t>Příjmy z poplatků podle zákona č. 634/2004 Sb., o správních poplatcích, ve znění pozdějších předpisů.</t>
  </si>
  <si>
    <t>Poplatek na činnost Energetického regulačního úřadu</t>
  </si>
  <si>
    <t>Poplatek Státnímu úřadu pro jadernou bezpečnost za žádost o vydání povolení</t>
  </si>
  <si>
    <t>Udržovací poplatek Státnímu úřadu pro jadernou bezpečnost</t>
  </si>
  <si>
    <t>Ostatní poplatky na činnost správních úřadů</t>
  </si>
  <si>
    <t>Daň z hazardních her s výjimkou dílčí daně z technických her</t>
  </si>
  <si>
    <t>Zrušený odvod z loterií a podobných her kromě z výherních hracích přístrojů</t>
  </si>
  <si>
    <t>Zrušený odvod z výherních hracích přístrojů</t>
  </si>
  <si>
    <t>Zrušený odvod za státní dozor</t>
  </si>
  <si>
    <t>Zrušené daně z mezinárodního obchodu a transakcí</t>
  </si>
  <si>
    <t>Daň z nemovitých věcí</t>
  </si>
  <si>
    <t>Zrušená daň z nabytí nemovitých věcí</t>
  </si>
  <si>
    <t>Zrušené daně z majetkových a kapitálových převodů</t>
  </si>
  <si>
    <t>Pojistné na důchodové pojištění od zaměstnavatelů</t>
  </si>
  <si>
    <t>Pojistné od zaměstnanců</t>
  </si>
  <si>
    <t>Pojistné na důchodové pojištění od osob samostatně výdělečně činných</t>
  </si>
  <si>
    <t>Pojistné na nemocenské pojištění od zaměstnavatelů</t>
  </si>
  <si>
    <t>Příspěvky na státní politiku zaměstnanosti od zaměstnavatelů</t>
  </si>
  <si>
    <t>Příspěvky na státní politiku zaměstnanosti od osob samostatně výdělečně činných</t>
  </si>
  <si>
    <t>Nevyjasněné, neidentifikované a nezařazené příjmy z pojistného na sociální zabezpečení</t>
  </si>
  <si>
    <t>Zrušené daně a odvody z objemu mezd</t>
  </si>
  <si>
    <t>Nerozúčtované, neidentifikované a nezařaditelné daňové příjmy</t>
  </si>
  <si>
    <t>Odvody nahrazující zaměstnávání občanů se změněnou pracovní schopností</t>
  </si>
  <si>
    <t>Příjmy z poskytování služeb a výrobků</t>
  </si>
  <si>
    <t>Příjmy z prodeje zboží (již nakoupeného za účelem prodeje)</t>
  </si>
  <si>
    <t>Příjmsy z prodeje práv k využívání rádiových kmitočtů</t>
  </si>
  <si>
    <t>Ostatní příjmy z vlastní činnosti</t>
  </si>
  <si>
    <t>Odvody přebytků ústřední banky</t>
  </si>
  <si>
    <t>Odvody příspěvkových organizací</t>
  </si>
  <si>
    <t>Ostatní odvody příspěvkových organizací</t>
  </si>
  <si>
    <t>Odvody školských právnických osob zřízených státem, kraji a obcemi</t>
  </si>
  <si>
    <t>Převody z fondů státních podniků do státního rozpočtu</t>
  </si>
  <si>
    <t>Ostatní odvody přebytků organizací s přímým vztahem</t>
  </si>
  <si>
    <t>Příjmy z pronájmu ostatních nemovitých věcí a jejich částí</t>
  </si>
  <si>
    <t>Příjmy z pronájmu movitých věcí</t>
  </si>
  <si>
    <t>Ostatní příjmy z pronájmu majetku</t>
  </si>
  <si>
    <t>Neúrokové příjmy z finančních derivátů kromě k vlastním dluhopisům</t>
  </si>
  <si>
    <t>Příjmy z podílů na zisku a dividend</t>
  </si>
  <si>
    <t>Kursové rozdíly v příjmech</t>
  </si>
  <si>
    <t>Příjmy z úroků ze státních dluhopisů</t>
  </si>
  <si>
    <t>Příjmy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</si>
  <si>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</si>
  <si>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</si>
  <si>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k vlastním dluhopisům</t>
  </si>
  <si>
    <t>Ostatní příjmy z výnosů finančního majetku</t>
  </si>
  <si>
    <t>Sankční platby přijaté od státu, obcí a krajů</t>
  </si>
  <si>
    <t>Sankční platby přijaté od jiných subjektů</t>
  </si>
  <si>
    <t>Přijaté vratky nespotřebovaných transferů</t>
  </si>
  <si>
    <t>Ostatní příjmy z finančního vypořádání od jiných veřejných rozpočtů</t>
  </si>
  <si>
    <t>Příjmy z finančního vypořádáni mezi krajem a obcemi</t>
  </si>
  <si>
    <t>Vratky nevyužitých prostředků z Národního fondu</t>
  </si>
  <si>
    <t>Úhrady prostředků vynaložených podle zákona o ochraně zaměstnanců pří platební neschopnosti zaměstnavatele</t>
  </si>
  <si>
    <t>Příjmy z finančního vypořádání mezi obcemi</t>
  </si>
  <si>
    <t>Příjmy z finančního vypořádání mezi regionální radou a kraji, obcemi a dobrovolnými svazky obcí</t>
  </si>
  <si>
    <t>Ostatní přijaté vratky transferů a podobné příjmy</t>
  </si>
  <si>
    <t>Příjmy z prodeje krátkodobého a drobného dlouhodobého majetku</t>
  </si>
  <si>
    <t>Přijaté nekapitálové příspěvky a náhrady</t>
  </si>
  <si>
    <t>Vratky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</si>
  <si>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</si>
  <si>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</si>
  <si>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Jiné nedaňové příjmy než příjmy ostatních položek třídy 2.</t>
  </si>
  <si>
    <t>Platba k úhradě správy vodních toků a správy povodí</t>
  </si>
  <si>
    <t>Příjmy dobíhajících úhrad z dobývacího prostoru a z vydobytých nerostů</t>
  </si>
  <si>
    <t>Poplatky za udržování patentu v platnosti</t>
  </si>
  <si>
    <t>Poplatky za udržování evropského patentu v platnosti</t>
  </si>
  <si>
    <t>Poplatky za udržování dodatkového ochranného osvědčení pro léčiva</t>
  </si>
  <si>
    <t>Pojistné na nemocenské pojištění od osob samostatně výdělečně činných</t>
  </si>
  <si>
    <t>Dobrovolné pojistné na důchodové pojištění</t>
  </si>
  <si>
    <t>Dočasné zatřídění příjmů</t>
  </si>
  <si>
    <t>Splátky půjčených prostředků od podnikatelských subjektů - fyzických osob</t>
  </si>
  <si>
    <t>Splátky půjčených prostředků od nefinančních subjektů - právnických osob</t>
  </si>
  <si>
    <t>Splátky půjčených prostředků od podnikatelských finančních subjektů – právnických osob</t>
  </si>
  <si>
    <t>Splátky půjčených prostředků od podniků ve vlastnictví státu</t>
  </si>
  <si>
    <t>Splátky půjčených prostředků od obecně prospěšných společností a podobných subjektů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</si>
  <si>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</si>
  <si>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</si>
  <si>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</si>
  <si>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</si>
  <si>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</si>
  <si>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obcí</t>
  </si>
  <si>
    <t>Splátky půjčených prostředků od krajů</t>
  </si>
  <si>
    <t>Splátky půjčených prostředků od regionálních rad</t>
  </si>
  <si>
    <t>Ostatní splátky půjčených prostředků od veřejných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</si>
  <si>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</si>
  <si>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</si>
  <si>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subjektů</t>
  </si>
  <si>
    <t>Splátky půjčených prostředků od obyvatelstva</t>
  </si>
  <si>
    <t>Splátky půjčených prostředků ze zahraničí</t>
  </si>
  <si>
    <t>Příjmy od dlužníků za realizace záruk</t>
  </si>
  <si>
    <t>Splátky od dlužníků za zaplacení dodávek</t>
  </si>
  <si>
    <t>Podíl na dani z přidané hodnoty z telekomunikačních a podobných služeb spravované pro Evropskou unii</t>
  </si>
  <si>
    <t>Příjmy z prodeje ostatních nemovitých věcí a jejich částí</t>
  </si>
  <si>
    <t>Příjmy z prodeje ostatního hmotného dlouhodobého majetku</t>
  </si>
  <si>
    <t>Příjmy z prodeje nehmotného dlouhodobého majetku</t>
  </si>
  <si>
    <t>Ostatní příjmy z prodeje dlouhodobého majetku</t>
  </si>
  <si>
    <t>Přijaté dary na pořízení dlouhodobého majetku</t>
  </si>
  <si>
    <t>Přijaté příspěvky na pořízení dlouhodobého majetku</t>
  </si>
  <si>
    <t>Ostatní investiční příjmy jinde nezařazené</t>
  </si>
  <si>
    <t>Příjmy z prodeje majetkových podílů</t>
  </si>
  <si>
    <t>Příjmy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</si>
  <si>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</si>
  <si>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</si>
  <si>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</si>
  <si>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</si>
  <si>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</si>
  <si>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a veřejného zdravotního pojištění</t>
  </si>
  <si>
    <t>Ostatní neinvestiční přijaté transfery ze státního rozpočtu</t>
  </si>
  <si>
    <t>Neinvestiční převody z Národního fondu</t>
  </si>
  <si>
    <t>Ostatní neinvestiční přijaté transfery od rozpočtů ústřední úrovně</t>
  </si>
  <si>
    <t>Neinvestiční přijaté transfery od obcí</t>
  </si>
  <si>
    <t>Neinvestiční přijaté transfery od krajů</t>
  </si>
  <si>
    <t>Neinvestiční přijaté transfery od regionálních rad</t>
  </si>
  <si>
    <t>Ostatní neinvestiční přijaté transfery od rozpočtů územní úrovně</t>
  </si>
  <si>
    <t>Převody z vlastních fondů hospodářské (podnikatelské) činnosti</t>
  </si>
  <si>
    <t>Převody z ostatních vlastních fondů</t>
  </si>
  <si>
    <t>Převody z vlastních rezervních fondů (jiných než organizačních složek státu)</t>
  </si>
  <si>
    <t>Převody z rezervních fondů organizačních složek státu</t>
  </si>
  <si>
    <t>Převody z jiných fondů organizačních složek státu</t>
  </si>
  <si>
    <t>Neinvestiční převody mezi statutárními městy (hl. m. Prahou) a jejich městskými obvody nebo částmi - příjmy</t>
  </si>
  <si>
    <t>Převody z vlastní pokladny</t>
  </si>
  <si>
    <t>Ostatní převody z vlastních fondů</t>
  </si>
  <si>
    <t>Převody z vlastních fondů přes rok</t>
  </si>
  <si>
    <t>Neinvestiční přijaté transfery od cizích států</t>
  </si>
  <si>
    <t>Neinvestiční přijaté dotace od mezinárodních institucí a některých cizích orgánů a právnických osob</t>
  </si>
  <si>
    <t>Neinvestiční transfery přijaté od Evropské unie</t>
  </si>
  <si>
    <t>Neinvestiční transfery z finančních mechanismů</t>
  </si>
  <si>
    <t>Neinvestiční transfery od NATO</t>
  </si>
  <si>
    <t>Ostatní neinvestiční přijaté transfery ze zahraničí</t>
  </si>
  <si>
    <t>Neinvestiční přijaté transfery ze státních finančních aktiv</t>
  </si>
  <si>
    <t>Investiční pojaté transfery z všeobecné pokladní správy státního rozpočtu</t>
  </si>
  <si>
    <t>Investiční přijaté transfery ze státního rozpočtu v rámci souhrnného dotačního vztahu</t>
  </si>
  <si>
    <t>Investiční přijaté transfery ze státních fondů</t>
  </si>
  <si>
    <t>Investiční přijaté transfery ze zvláštních fondů ústřední úrovně</t>
  </si>
  <si>
    <t>Ostatní investiční přijaté transfery ze státního rozpočtu</t>
  </si>
  <si>
    <t>Investiční převody z Národního fondu</t>
  </si>
  <si>
    <t>Ostatní investiční přijaté transfery od veřejných rozpočtů ústřední úrovně</t>
  </si>
  <si>
    <t>Investiční přijaté transfery od obcí</t>
  </si>
  <si>
    <t>Investiční přijaté transfery od krajů</t>
  </si>
  <si>
    <t>Investiční přijaté transfery od regionálních rad</t>
  </si>
  <si>
    <t>Ostatní investiční přijaté transfery od rozpočtů územní úrovně</t>
  </si>
  <si>
    <t>Investiční přijaté transfery od cizích států</t>
  </si>
  <si>
    <t>Investiční přijaté transfery od mezinárodních institucí</t>
  </si>
  <si>
    <t>Investiční transfery přijaté od Evropské unie</t>
  </si>
  <si>
    <t>Investiční transfery z finančních mechanismů</t>
  </si>
  <si>
    <t>Investiční transfery od NATO</t>
  </si>
  <si>
    <t>Investiční přijaté transfery ze státních finančních aktiv</t>
  </si>
  <si>
    <t>Investiční převody mezi statutárními městy (hl. m. Prahou) a jejich městskými obvody nebo částmi - příjmy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</si>
  <si>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</si>
  <si>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</si>
  <si>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</si>
  <si>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</si>
  <si>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Platy představitelů státní moci a některých orgánů</t>
  </si>
  <si>
    <t>Odměny členů zastupitelstev obcí a krajů</t>
  </si>
  <si>
    <t>Peněžní náležitosti vojáků v záloze ve službě</t>
  </si>
  <si>
    <t>Kázeňské odměny poskytnuté formou peněžitých darů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</si>
  <si>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</si>
  <si>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</si>
  <si>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</si>
  <si>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Povinné pojistné na úrazové pojištění</t>
  </si>
  <si>
    <t>Ostatní povinné pojistné placené zaměstnavatelem</t>
  </si>
  <si>
    <t>Odměny za užití duševního vlastnictví</t>
  </si>
  <si>
    <t>Odměny za užití počítačových programů (softwaru) a databází</t>
  </si>
  <si>
    <t>Mzdy podle cizího práva</t>
  </si>
  <si>
    <t>Podlimitní technické zhodnocení</t>
  </si>
  <si>
    <t>Učebnice a bezplatně poskytované školní potřeby</t>
  </si>
  <si>
    <t>Drobný dlouhodobý hmotný majetek</t>
  </si>
  <si>
    <t>Nákup zboží (za účelem dalšího prodeje)</t>
  </si>
  <si>
    <t>Nákup materiálu jinde nezařazený</t>
  </si>
  <si>
    <t>Kursové rozdíly ve výdajích</t>
  </si>
  <si>
    <t>Úroky vzniklé převzetím cizích závazků</t>
  </si>
  <si>
    <t>Neúrokové výdaje na finanční deriváty k vlastním dluhopisům</t>
  </si>
  <si>
    <t>Úrokové výdaje na finanční deriváty k vlastním dluhopisům</t>
  </si>
  <si>
    <t>Úrokové výdaje na finanční deriváty kromě k vlastním dluhopisům</t>
  </si>
  <si>
    <t>Neúrokové výdaje na finanční deriváty kromě k vlastním dluhopisům</t>
  </si>
  <si>
    <t>Ostatní úroky a ostatní finanční výdaje</t>
  </si>
  <si>
    <t>Nákup ostatních paliv a energie</t>
  </si>
  <si>
    <t>Poštovní služby</t>
  </si>
  <si>
    <t>Konzultační, poradenské a právní služby</t>
  </si>
  <si>
    <t>Zpracování dat a služby související s informačními a komunikačními technologiemi</t>
  </si>
  <si>
    <t>Účastnické poplatky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</si>
  <si>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</si>
  <si>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</si>
  <si>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</si>
  <si>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</si>
  <si>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</si>
  <si>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Převody do elektronických peněženek</t>
  </si>
  <si>
    <t>Jistoty</t>
  </si>
  <si>
    <t>Zaplacené sankce a odstupné</t>
  </si>
  <si>
    <t>Poskytnuté náhrady</t>
  </si>
  <si>
    <t>Výdaje na dopravní územní obslužnost</t>
  </si>
  <si>
    <t>Odvody za neplněni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</si>
  <si>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</si>
  <si>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</si>
  <si>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>Finanční náhrady v rámci majetkového vyrovnání s církvemi</t>
  </si>
  <si>
    <t>Ostatní výdaje související s neinvestičními nákupy</t>
  </si>
  <si>
    <t>Neinvestiční transfery finančním institucím</t>
  </si>
  <si>
    <t>Neinvestiční transfery nefinančním podnikatelským subjektům-fyzickým osobám</t>
  </si>
  <si>
    <t>Neinvestiční transfery nefinančním podnikatelským subjektům-právnickým osobám</t>
  </si>
  <si>
    <t>Neinvestiční transfery finančním a podobným institucím ve vlastnictví státu</t>
  </si>
  <si>
    <t>Neinvestiční transfery vybraným podnikatelským subjektům ve vlastnictví státu</t>
  </si>
  <si>
    <t>Neinvestiční transfery obecním a krajským nemocnicím - obchodním společnostem</t>
  </si>
  <si>
    <t>Ostatní neinvestiční transfery podnikatelským subjektům</t>
  </si>
  <si>
    <t>Neinvestiční transfery fundacím, ústavům a obecně prospěšným společnostem</t>
  </si>
  <si>
    <t>Neinvestiční transfery spolkům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</si>
  <si>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</si>
  <si>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</si>
  <si>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</si>
  <si>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organizacím</t>
  </si>
  <si>
    <t>Refundace poloviny náhrady mzdy za dočasnou pracovní neschopnost</t>
  </si>
  <si>
    <t>Neinvestiční transfery státnímu rozpočtu</t>
  </si>
  <si>
    <t>Neinvestiční transfery státním fondům</t>
  </si>
  <si>
    <t>Neinvestiční transfery zvláštním fondům ústřední úrovně</t>
  </si>
  <si>
    <t>Neinvestiční transfery fondům sociálního a veřejného zdravotního pojištění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</si>
  <si>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</si>
  <si>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</si>
  <si>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</si>
  <si>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</si>
  <si>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 v rámci souhrnného dotačního vztahu</t>
  </si>
  <si>
    <t>Neinvestiční transfery krajům v rámci souhrnného dotačního vztahu</t>
  </si>
  <si>
    <t>Neinvestiční transfery regionálním radám</t>
  </si>
  <si>
    <t>Ostatní neinvestiční transfery veřejným rozpočtům územní úrovně</t>
  </si>
  <si>
    <t>Neinvestiční příspěvky zřízeným příspěvkovým organizacím</t>
  </si>
  <si>
    <t>Neinvestiční transfery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</si>
  <si>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</si>
  <si>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</si>
  <si>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</si>
  <si>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</si>
  <si>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hospodářské (podnikatelské)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</si>
  <si>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</si>
  <si>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</si>
  <si>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</si>
  <si>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vlastním rozpočtovým účtům</t>
  </si>
  <si>
    <t>Převody do fondů organizačních složek státu</t>
  </si>
  <si>
    <t>Neinvestiční převody mezi statutárními městy (hl. m. Prahou) a jejich městskými obvody nebo částmi - výdaje</t>
  </si>
  <si>
    <t>Ostatní převody vlastním fondům</t>
  </si>
  <si>
    <t>Převody do vlastních fondů přes rok</t>
  </si>
  <si>
    <t>Platby daní a poplatků státnímu rozpočtu</t>
  </si>
  <si>
    <t>Vratky transferů poskytnutých z veřejných rozpočtů</t>
  </si>
  <si>
    <t>Platby daní a poplatků krajům, obcím a státním fondům</t>
  </si>
  <si>
    <t>Výdaje z finančního vypořádání mezi krajem a obcemi a dobrovolnými svazky obcí</t>
  </si>
  <si>
    <t>Výdaje z finančního vypořádání mezi obcemi</t>
  </si>
  <si>
    <t>Výdaje z finančního vypořádání mezi regionální radou a kraji, obcemi a dobrovolnými svazky obcí</t>
  </si>
  <si>
    <t>Náhrady mezd podle zákona č. 118/2000 Sb.</t>
  </si>
  <si>
    <t>Příspěvek na náklady pohřbu dárce orgánu a náhrada poskytovaná žijícímu dárci</t>
  </si>
  <si>
    <t>Stipendia žákům, studentům a doktorandům</t>
  </si>
  <si>
    <t>Účelové neinvestiční transfery fyzickým osobám</t>
  </si>
  <si>
    <t>Neinvestiční transfery obyvatelstvu nemající charakter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</si>
  <si>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</si>
  <si>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</si>
  <si>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</si>
  <si>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</si>
  <si>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obyvatelstvu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</si>
  <si>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</si>
  <si>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</si>
  <si>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</si>
  <si>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</si>
  <si>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</si>
  <si>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</si>
  <si>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>Odvody vlastních zdrojů EU do rozpopčtu EU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</si>
  <si>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</si>
  <si>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</si>
  <si>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</si>
  <si>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</si>
  <si>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</si>
  <si>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</si>
  <si>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podnikatelským subjektům-fyzickým osobám</t>
  </si>
  <si>
    <t>Neinvestiční půjčené prostředky nefinančním podnikatelským subjektům-právnickým osobám</t>
  </si>
  <si>
    <t>Neinvestiční půjčené prostředky finančním a podobným institucím ve vlastnictví státu</t>
  </si>
  <si>
    <t>Neinvestiční půjčené prostředky vybraným podnikatelským subjektům ve vlastnictví státu</t>
  </si>
  <si>
    <t>Ostatní neinvestiční půjčené prostředky podnikatelským subjektům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</si>
  <si>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</si>
  <si>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</si>
  <si>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</si>
  <si>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</si>
  <si>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organizacím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</si>
  <si>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</si>
  <si>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</si>
  <si>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</si>
  <si>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</si>
  <si>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</si>
  <si>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</si>
  <si>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</si>
  <si>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Neinvestiční půjčené prostředky regionálním radám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</si>
  <si>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</si>
  <si>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</si>
  <si>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vysokým školám</t>
  </si>
  <si>
    <t>Neinvestiční půjčené prostředky ostatním příspěvkovým organizacím</t>
  </si>
  <si>
    <t>Neinvestiční půjčené prostředky obyvatelstvu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</si>
  <si>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</si>
  <si>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</si>
  <si>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</si>
  <si>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</si>
  <si>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Ostatní výdaje z finančního vypořádání minulých let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</si>
  <si>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</si>
  <si>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</si>
  <si>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</si>
  <si>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</si>
  <si>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Nehmotné výsledky výzkumné a obdobné činnosti</t>
  </si>
  <si>
    <t>Ostatní nákup dlouhodobého nehmotného majetku</t>
  </si>
  <si>
    <t>Budovy, haly a stavby</t>
  </si>
  <si>
    <t>Stroje, přístroje a zařízení</t>
  </si>
  <si>
    <t>Pěstitelské celky trvalých porostů</t>
  </si>
  <si>
    <t>Kulturní předměty</t>
  </si>
  <si>
    <t>Nákup dlouhodobého hmotného majetku jinde nezařazený</t>
  </si>
  <si>
    <t>Právo stavby</t>
  </si>
  <si>
    <t>Nadlimitní věcná břemena</t>
  </si>
  <si>
    <t>Nákup ostatních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</si>
  <si>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</si>
  <si>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</si>
  <si>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</si>
  <si>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</si>
  <si>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podnikatelským subjektům-fyzickým osobám</t>
  </si>
  <si>
    <t>Investiční transfery nefinančním podnikatelským subjektům-právnickým osobám</t>
  </si>
  <si>
    <t>Investiční transfery finančním a podobným institucím ve vlastnictví státu</t>
  </si>
  <si>
    <t>Investiční transfery vybraným podnikatelským subjektům ve vlastnictví státu</t>
  </si>
  <si>
    <t>Investiční transfery obecním a krajským nemocnicím - obchodním společnostem</t>
  </si>
  <si>
    <t>Ostatní investiční transfery podnikatelským subjektům</t>
  </si>
  <si>
    <t>Investiční transfery fundacím, ústavům a obecně prospěšným společnostem</t>
  </si>
  <si>
    <t>Investiční transfery spolkům</t>
  </si>
  <si>
    <t>Investiční transfery církvím a náboženským společnostem</t>
  </si>
  <si>
    <t>Investiční transfery společenstvím vlastníků jednotek</t>
  </si>
  <si>
    <t>Ostatní investiční transfery neziskovým a podobným organizacím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</si>
  <si>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</si>
  <si>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</si>
  <si>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</si>
  <si>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</si>
  <si>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</si>
  <si>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veřejným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</si>
  <si>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</si>
  <si>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</si>
  <si>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</si>
  <si>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</si>
  <si>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Investiční transfery regionálním radám</t>
  </si>
  <si>
    <t>Ostatní investiční transfery veřejným rozpočtům územní úrovně</t>
  </si>
  <si>
    <t>Investiční transfery zřízeným příspěvkovým organizacím</t>
  </si>
  <si>
    <t>Investiční transfery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</si>
  <si>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</si>
  <si>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</si>
  <si>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</si>
  <si>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ostatním příspěvkovým organizacím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</si>
  <si>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</si>
  <si>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</si>
  <si>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(hl. m. Prahou) a jejich městskými obvody nebo částmi - výdaje</t>
  </si>
  <si>
    <t>Účelové investiční transfery nepodnikajícím fyzickým osobám</t>
  </si>
  <si>
    <t>Ostatní investiční transfery obyvatelstvu</t>
  </si>
  <si>
    <t>Investiční transfery do zahraničí</t>
  </si>
  <si>
    <t>Investiční půjčené prostředky finančním institucím</t>
  </si>
  <si>
    <t>Investiční půjčené prostředky nefinančním podnikatelským subjektům-fyzickým osobám</t>
  </si>
  <si>
    <t>Investiční půjčené prostředky nefinančním podnikatelským subjektům-právnickým osobám</t>
  </si>
  <si>
    <t>Investiční půjčené prostředky finančním a podobným institucím ve vlastnictví státu</t>
  </si>
  <si>
    <t>Investiční půjčené prostředky vybraným podnikatelským subjektům ve vlastnictví státu</t>
  </si>
  <si>
    <t>Ostatní investiční půjčené prostředky podnikatelským subjektům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</si>
  <si>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</si>
  <si>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</si>
  <si>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</si>
  <si>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</si>
  <si>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organizacím</t>
  </si>
  <si>
    <t>Investiční půjčené prostředky státnímu rozpočtu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</si>
  <si>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</si>
  <si>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</si>
  <si>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</si>
  <si>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veřejným rozpočtům</t>
  </si>
  <si>
    <t>Investiční půjčené prostředky obcím</t>
  </si>
  <si>
    <t>Investiční půjčené prostředky krajům</t>
  </si>
  <si>
    <t>Investiční půjčené prostředky regionálním radám</t>
  </si>
  <si>
    <t>Ostatní investiční půjčené prostředky veřejným rozpočtům místní úrovně</t>
  </si>
  <si>
    <t>Investiční půjčené prostředky zřízeným příspěvkovým organizacím</t>
  </si>
  <si>
    <t>Investiční půjčené prostředky vysokým školám</t>
  </si>
  <si>
    <t>Investiční půjčené prostředky ostatním příspěvkovým organizacím</t>
  </si>
  <si>
    <t>Investiční půjčené prostředky obyvatelstvu</t>
  </si>
  <si>
    <t>Investiční půjčené prostředky do zahraničí</t>
  </si>
  <si>
    <t>Investiční převody Národnímu fondu</t>
  </si>
  <si>
    <t>Ostatní kapitálové výdaje jinde nezařazené</t>
  </si>
  <si>
    <t>Uhrazené splátky krátkodobých vydaných dluhopisů</t>
  </si>
  <si>
    <t>Krátkodobé přijaté půjčené prostředky</t>
  </si>
  <si>
    <t>Uhrazené splátky krátkodobých přijatých půjčených prostředky</t>
  </si>
  <si>
    <t>Změny stavu krátkodobých prostředků na bankovních účtech kromě změn stavů účtů státních finančních aktiv, které tvoří kapitolu OSFA</t>
  </si>
  <si>
    <t>Změny stavu bankovních účtů krátkodobých prostředků státních finančních aktiv, které tvoří kapitolu OSFA</t>
  </si>
  <si>
    <t>Aktivní krátkodobé operace řízení likvidity - příjmy</t>
  </si>
  <si>
    <t>Aktivní krátkodobé operace řízení likvidity - výdaje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</si>
  <si>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</si>
  <si>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</si>
  <si>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</si>
  <si>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</si>
  <si>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</si>
  <si>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</si>
  <si>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Uhrazené splátky krátkodobých přijatých půjčených prostředků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</si>
  <si>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</si>
  <si>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</si>
  <si>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</si>
  <si>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</si>
  <si>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OSFA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</si>
  <si>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</si>
  <si>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</si>
  <si>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</si>
  <si>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</si>
  <si>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organizace nemající charakter příjmů a výdajů vládního sektoru</t>
  </si>
  <si>
    <t>Nerealizované kursové rozdíly pohybů na devizových účtech</t>
  </si>
  <si>
    <t>Nepřevedené částky vyrovnávající schodek a saldo státní pokladny</t>
  </si>
  <si>
    <t>SK 2021</t>
  </si>
  <si>
    <t>Vratka jistiny - pozemky</t>
  </si>
  <si>
    <t>PS KH PO - pr.příspěvek</t>
  </si>
  <si>
    <t>Skutečnost 2021</t>
  </si>
  <si>
    <t>16´261 960,00</t>
  </si>
  <si>
    <t xml:space="preserve">FRB - sankční platby </t>
  </si>
  <si>
    <t>Sokolovna Malín - nájemné občerstvení</t>
  </si>
  <si>
    <t>sloučeno pod 18667</t>
  </si>
  <si>
    <t>skutečnost 2021</t>
  </si>
  <si>
    <t>Zemědělství (vč. MLaR) kap.výdaje</t>
  </si>
  <si>
    <t>Byty, nebyty -  rekonstrukce</t>
  </si>
  <si>
    <t>Právní  a konzultační služby bez smlouvy</t>
  </si>
  <si>
    <t>33xx</t>
  </si>
  <si>
    <t>6xxx</t>
  </si>
  <si>
    <t>Sport / Skatepark Klimeška a okolí</t>
  </si>
  <si>
    <t>36xx</t>
  </si>
  <si>
    <t>37xx</t>
  </si>
  <si>
    <t>SR</t>
  </si>
  <si>
    <t>Knihovna KH - NFV</t>
  </si>
  <si>
    <t>Dar pro MŠ Trebišovská</t>
  </si>
  <si>
    <t>Odvod ze zisku - TEBIS</t>
  </si>
  <si>
    <t xml:space="preserve">OSPOD: výdaje </t>
  </si>
  <si>
    <t>Nákup materiálu - RADAR</t>
  </si>
  <si>
    <t>OZO - materiál</t>
  </si>
  <si>
    <t>Neprivat.nebyty - voda</t>
  </si>
  <si>
    <t>Neprivat.nebyty -teplo</t>
  </si>
  <si>
    <t>Neprivat.nebyty - teplá voda</t>
  </si>
  <si>
    <t>Kostel SJN-nájemné</t>
  </si>
  <si>
    <t>Monitoring medií</t>
  </si>
  <si>
    <t>Služby informační technologie</t>
  </si>
  <si>
    <t>Neprivat.nebyty - služby</t>
  </si>
  <si>
    <t>Svoz nádob na třídění odpadů</t>
  </si>
  <si>
    <t>Sportoviště-opravy</t>
  </si>
  <si>
    <t>Sanace kotelny Štefánikova 553</t>
  </si>
  <si>
    <t>Sociální byty - opravy</t>
  </si>
  <si>
    <t>Občerstvení</t>
  </si>
  <si>
    <t>ZM - účastnické poplatky na konference</t>
  </si>
  <si>
    <t>Neprivat.nebyty - fond oprav</t>
  </si>
  <si>
    <t>OZO - věcné dary</t>
  </si>
  <si>
    <t>jednorázový přísp. kraji na Bus dopravu 2021</t>
  </si>
  <si>
    <t>Interg. doprava Stč. kraje - PO</t>
  </si>
  <si>
    <t>FV dotace od kraje UZ 98032</t>
  </si>
  <si>
    <t>PARKování</t>
  </si>
  <si>
    <t>Humanitární pomoc výdaje</t>
  </si>
  <si>
    <t>Krizová opatření - léky, zdrav. mat.</t>
  </si>
  <si>
    <t>Školství - Investiční příspěvky PO vč. dotačních</t>
  </si>
  <si>
    <t>Oddělení informatiky- SW, HW, studie k dotaci</t>
  </si>
  <si>
    <t>Bydlení,  kom.služby - výdaje let minulých (Vl.dvůr, VO, Knihovna okolí)</t>
  </si>
  <si>
    <t>Ochr.živ.prostřědí/ studna Hetlín - kap.výdaje</t>
  </si>
  <si>
    <t>Inovace síťové infrastruktury</t>
  </si>
  <si>
    <t>MP - kamera</t>
  </si>
  <si>
    <t>MP - odchodné dáno zákonem</t>
  </si>
  <si>
    <t>SPR - Změna OP osobní důvod</t>
  </si>
  <si>
    <t>Calendarium Cuthna</t>
  </si>
  <si>
    <t>Prodej výrobků a služeb</t>
  </si>
  <si>
    <t>Příjem z poskytn.služeb - JCDECAUX</t>
  </si>
  <si>
    <t>Areál Klimeška - pronájem</t>
  </si>
  <si>
    <t>Stadion Olympia - pronájem sběr. nádob</t>
  </si>
  <si>
    <t>Sokolovna Malín - pronájem sběr. nádob</t>
  </si>
  <si>
    <t>Sparta KH - služby</t>
  </si>
  <si>
    <t>FTH - TEBIS - poplatek za vedení účtu</t>
  </si>
  <si>
    <t>FTH - TEBIS - Opravy - Šipší VZMR</t>
  </si>
  <si>
    <t>FTH - TEBIS - právní konzultace</t>
  </si>
  <si>
    <t>Sokolovna Malín - pronájem sportoviště</t>
  </si>
  <si>
    <t>Rozhledna Kaňk - nájemné</t>
  </si>
  <si>
    <t>Dačického dům - pronájem sběr. nádob</t>
  </si>
  <si>
    <t>Radnická 178 - telefony</t>
  </si>
  <si>
    <t>Spolkový dům - pronájem sběr. nádob</t>
  </si>
  <si>
    <t>Cihelna- pronájem sběr. nádob</t>
  </si>
  <si>
    <t>Smuteční síň - materiál</t>
  </si>
  <si>
    <t>Smuteční síň - služby</t>
  </si>
  <si>
    <r>
      <rPr>
        <b/>
        <sz val="11"/>
        <color theme="1"/>
        <rFont val="Calibri"/>
        <family val="2"/>
        <charset val="238"/>
        <scheme val="minor"/>
      </rPr>
      <t xml:space="preserve">FTH </t>
    </r>
    <r>
      <rPr>
        <sz val="11"/>
        <color theme="1"/>
        <rFont val="Calibri"/>
        <family val="2"/>
        <charset val="238"/>
        <scheme val="minor"/>
      </rPr>
      <t>- Tebis - inv. Zařízení</t>
    </r>
  </si>
  <si>
    <t>Kostel Sv.Jana Nepomuckého - prodej suvenýrů</t>
  </si>
  <si>
    <t>ovcacik@mu.kutnahora.cz</t>
  </si>
  <si>
    <t>tel: 327 710 156</t>
  </si>
  <si>
    <t>kralik@mu.kutnahora.cz</t>
  </si>
  <si>
    <t>Vlašský dvůr - udržitelnost - smlouva (ViP)</t>
  </si>
  <si>
    <t>Zeleň města - udržitelnost - smlouva (Olivius)</t>
  </si>
  <si>
    <t>Klimeška - investice</t>
  </si>
  <si>
    <t>Souhrnný dotační vztah Opatrovníci</t>
  </si>
  <si>
    <t>Czech Point FO - Výpis údajů z registru osob</t>
  </si>
  <si>
    <t>FTH - Tebis - investice</t>
  </si>
  <si>
    <t>16´261´960</t>
  </si>
  <si>
    <t>FTH - TEBIS - služby/DHDM</t>
  </si>
  <si>
    <t>TS - rezerva</t>
  </si>
  <si>
    <t>Odbor správy majetku - Ing. Maternová - Oddělení správy nemovitostí - Bc. Gregorová</t>
  </si>
  <si>
    <t xml:space="preserve">Odbor správy majetku - Ing. Maternová - Oddělení správy nemovitostí </t>
  </si>
  <si>
    <t>Odbor sociálních věcí a zdravotnictví - Mgr.; Bc. Šlesingr, DiS.</t>
  </si>
  <si>
    <t xml:space="preserve">Odbor dopravy a silničního hospodářství - Bc. Gygalová </t>
  </si>
  <si>
    <t xml:space="preserve">Odbor obecní živnostenský úřad - Ing. Kotlář </t>
  </si>
  <si>
    <t>Odbor investic - Ing. Králik</t>
  </si>
  <si>
    <t>FTH - TEBIS s.r.o. - nájem</t>
  </si>
  <si>
    <t>Fond pro správu a údržbu infrastruktury města Kutná Hora</t>
  </si>
  <si>
    <t>Fond na obnovu nemovitého majetku ve vlastnictví Města Kutná Hora</t>
  </si>
  <si>
    <t>tel.: 327 710 175</t>
  </si>
  <si>
    <t>TSZ - celkem</t>
  </si>
  <si>
    <t>"-"navyšuje zůstatek fondu, "+" je zapojení zůstatku</t>
  </si>
  <si>
    <t>Fond pro správu a údržbu infrastruktury města Kutná Hora - poplatky za vedení účtu 94-444212389/0800 (236.25)</t>
  </si>
  <si>
    <t>Fond pro správu a údržbu infrastruktury města Kutná Hora - zapojení (236.25)</t>
  </si>
  <si>
    <t>Pečovatelská služba - TAXÍK MAXÍK</t>
  </si>
  <si>
    <r>
      <t xml:space="preserve">OCHOTNICKÝ SPOLEK Tyl, z. s. (nájem) </t>
    </r>
    <r>
      <rPr>
        <b/>
        <sz val="11"/>
        <rFont val="Calibri"/>
        <family val="2"/>
        <charset val="238"/>
        <scheme val="minor"/>
      </rPr>
      <t>příspěvek</t>
    </r>
  </si>
  <si>
    <t>Oslava sv. Barbory - vánoční strom</t>
  </si>
  <si>
    <t>ZŠ Kamenná stezka - investiční příspěvek</t>
  </si>
  <si>
    <t>ZŠ Kamenná stezka - návratná finanční výpomoc</t>
  </si>
  <si>
    <t>PD - hlavní nádraží</t>
  </si>
  <si>
    <t>Projekt Trenéři ve škole</t>
  </si>
  <si>
    <t>Přijaté neinvestiční dary (krize)</t>
  </si>
  <si>
    <t>Ostatní příjmy z vlastní činnosti min. let</t>
  </si>
  <si>
    <t>CELKEM PŘÍJMY (bez DPPO za obec): bez vzorce</t>
  </si>
  <si>
    <t>Pionýr, z. s. - 6. pionýrská skupina Kolín - Neškaredíce  příspěvek</t>
  </si>
  <si>
    <t>Přípravné práce projektů, monitorovací zprávy</t>
  </si>
  <si>
    <t>Hřiště Sokolák - provozní náklady</t>
  </si>
  <si>
    <t>Společné prostory -služby, revize</t>
  </si>
  <si>
    <t>Kom. služby -  materiál</t>
  </si>
  <si>
    <t>Kom. služby - studie</t>
  </si>
  <si>
    <t xml:space="preserve">TS - hřbitov Česká - údržba retenčních vsakovacích nádrží </t>
  </si>
  <si>
    <t>Vodní hospodářství / Revitalizace toku Vrchlice</t>
  </si>
  <si>
    <t>Rezerva Odbor dopravy - včetně vrácení určené částky z min.let</t>
  </si>
  <si>
    <t>Oddíl, paragraf - odvětkové členění rozpočtové skladby</t>
  </si>
  <si>
    <t>Skupina, položky - druhé členění rozpočtové skladby</t>
  </si>
  <si>
    <t>Správce rozpočtových položek - příkazce operace</t>
  </si>
  <si>
    <t>Bližší interní členění rozpočtové skladby</t>
  </si>
  <si>
    <t>Záznamová jednotka - pro určení výdaje</t>
  </si>
  <si>
    <t>Účelový znak - důležité pro členění dotací</t>
  </si>
  <si>
    <t>Nástroj a prostorová jednotka - předepsané člěnění MFČR pro některé příjmy a výdaje (dotační)</t>
  </si>
  <si>
    <t>Kapitova - interní členění</t>
  </si>
  <si>
    <t>Dokumentace provedení stavby u investic</t>
  </si>
  <si>
    <t>Oddělení vnitřní správy - rozpočtová rezerva</t>
  </si>
  <si>
    <t>SF - ošatné - ZM</t>
  </si>
  <si>
    <t>Sociální fond - Povinné pojistné na úraz.poj. ZM</t>
  </si>
  <si>
    <t>Sociální fond - stravné ZM</t>
  </si>
  <si>
    <t>Stravné - ZM</t>
  </si>
  <si>
    <t>Sport - spoluúčast Města k dotacím</t>
  </si>
  <si>
    <t>Mezinárodní vztahy</t>
  </si>
  <si>
    <t>CR a MV - pohoštění</t>
  </si>
  <si>
    <t>simonova@mu.kutnahora.cz</t>
  </si>
  <si>
    <t>tel: 722984977;  722984977</t>
  </si>
  <si>
    <t>Sociální fond Bc. Brandejská</t>
  </si>
  <si>
    <r>
      <t xml:space="preserve">Odbor cestovního ruchu, školství a kultury - </t>
    </r>
    <r>
      <rPr>
        <b/>
        <sz val="10"/>
        <rFont val="Calibri"/>
        <family val="2"/>
        <charset val="238"/>
        <scheme val="minor"/>
      </rPr>
      <t>Oddělení IC a  Spol. domu</t>
    </r>
    <r>
      <rPr>
        <sz val="10"/>
        <rFont val="Calibri"/>
        <family val="2"/>
        <charset val="238"/>
        <scheme val="minor"/>
      </rPr>
      <t xml:space="preserve"> - pí Bucifal</t>
    </r>
  </si>
  <si>
    <r>
      <t xml:space="preserve">Odbor cestovního ruchu, školství a kultury - </t>
    </r>
    <r>
      <rPr>
        <b/>
        <sz val="10"/>
        <rFont val="Calibri"/>
        <family val="2"/>
        <charset val="238"/>
        <scheme val="minor"/>
      </rPr>
      <t>Oddělení školství</t>
    </r>
    <r>
      <rPr>
        <sz val="10"/>
        <rFont val="Calibri"/>
        <family val="2"/>
        <charset val="238"/>
        <scheme val="minor"/>
      </rPr>
      <t xml:space="preserve"> a kultury - Bc. Francová Lucie</t>
    </r>
  </si>
  <si>
    <t>Odbor cestovního ruchu, školství a kultury - vedoucí oddělení cestovního ruchu a vnějších vztahů - Bc. K. Šimonová</t>
  </si>
  <si>
    <t>Fond pro správu a údržbu infrastruktury města Kutná Hora - spadá pod Oddělení reg.rozvoje</t>
  </si>
  <si>
    <t>Fond rozvoje bydlení - spadá pod Oddělení reg. Rozvoje</t>
  </si>
  <si>
    <t>Fond regenerace památek - spadá pod Odd.památek</t>
  </si>
  <si>
    <t>Fond na obnovu nemovitého majetku ve vlastnictví Města Kutná Hora - spadá pod OSM</t>
  </si>
  <si>
    <t>Fond rozvoje tepelného hospodářství - spadá pod OSM-TO</t>
  </si>
  <si>
    <r>
      <t xml:space="preserve">Odbor správy majetku - Ing. Maternová - </t>
    </r>
    <r>
      <rPr>
        <b/>
        <sz val="10"/>
        <rFont val="Calibri"/>
        <family val="2"/>
        <charset val="238"/>
        <scheme val="minor"/>
      </rPr>
      <t xml:space="preserve"> Technické oddělení</t>
    </r>
    <r>
      <rPr>
        <sz val="10"/>
        <rFont val="Calibri"/>
        <family val="2"/>
        <charset val="238"/>
        <scheme val="minor"/>
      </rPr>
      <t xml:space="preserve"> - Ing. Štolbová</t>
    </r>
  </si>
  <si>
    <r>
      <t xml:space="preserve">Odbor správy majetku - Ing. Maternová - </t>
    </r>
    <r>
      <rPr>
        <b/>
        <sz val="10"/>
        <rFont val="Calibri"/>
        <family val="2"/>
        <charset val="238"/>
        <scheme val="minor"/>
      </rPr>
      <t xml:space="preserve">Oddělení majetkové </t>
    </r>
    <r>
      <rPr>
        <sz val="10"/>
        <rFont val="Calibri"/>
        <family val="2"/>
        <charset val="238"/>
        <scheme val="minor"/>
      </rPr>
      <t>- Ing. Heřmanová</t>
    </r>
  </si>
  <si>
    <t>Odpad: služby</t>
  </si>
  <si>
    <t xml:space="preserve">SDH - Poličany </t>
  </si>
  <si>
    <t>Sbor dobrovolných hasičů Poličany</t>
  </si>
  <si>
    <t>Sbor dobrovolných hasičů Malín</t>
  </si>
  <si>
    <t>poznámka</t>
  </si>
  <si>
    <t>SR 2023</t>
  </si>
  <si>
    <t>SK 2022</t>
  </si>
  <si>
    <t>POZNÁMKY</t>
  </si>
  <si>
    <t>NEPOKRYTO</t>
  </si>
  <si>
    <t>MU</t>
  </si>
  <si>
    <t>Ověření listiny do zahraničí</t>
  </si>
  <si>
    <t>Setkání hornických měst - účastnické poplatky</t>
  </si>
  <si>
    <t>Příjem z poskytování služeb, výrobků, prací, výkonů a práv</t>
  </si>
  <si>
    <t>Byty - přefakturace nákladů</t>
  </si>
  <si>
    <t>Příjem z prodeje zboží (již nakoupeného za účelem prodeje)</t>
  </si>
  <si>
    <t>Příjem z prodeje krátkodobého a drobného dlouhodobého neinvestičního majetku</t>
  </si>
  <si>
    <t>Nadace život umělce - Kytarová soutěž</t>
  </si>
  <si>
    <t>SK Sršni Kutná Hora, z.s. - finanční dar</t>
  </si>
  <si>
    <t>Příjem z pojistných plnění</t>
  </si>
  <si>
    <t>Přijaté neinvestiční příspěvky a náhrady</t>
  </si>
  <si>
    <t>Č-Něm. Fond- kytarová soutěž</t>
  </si>
  <si>
    <t>ZS - příjmy z vyúčtování energií</t>
  </si>
  <si>
    <t>Areál cihelny</t>
  </si>
  <si>
    <t>Příjem z prodeje ostatních nemovitých věcí a jejich částí</t>
  </si>
  <si>
    <t>Dar na pořízení motorového vozidla TaxíkMaxík</t>
  </si>
  <si>
    <t xml:space="preserve">Fond rozvoje tepelného hospodářství </t>
  </si>
  <si>
    <t>Sociálního fond</t>
  </si>
  <si>
    <t>Fond na obnovu nemovitého majetku (30% z vybraného nájmu)</t>
  </si>
  <si>
    <t>Fond sociálních věcí na území města KH</t>
  </si>
  <si>
    <t>Fondu regenerace</t>
  </si>
  <si>
    <t>0/1361/2020/31052/0/0/0/0/0</t>
  </si>
  <si>
    <t>0/1361/2020/31067/0/0/0/0/0</t>
  </si>
  <si>
    <t>0/1361/2300/31214/0/0/0/0/0</t>
  </si>
  <si>
    <t>0/1382/2094/33690/0/0/0/0/0</t>
  </si>
  <si>
    <t>3311/2111/2045/52654/0/0/0/0/0</t>
  </si>
  <si>
    <t>3312/2111/2040/52620/0/0/0/0/0</t>
  </si>
  <si>
    <t>3319/2111/2045/66000/0/0/0/0/0</t>
  </si>
  <si>
    <t>3322/2111/2040/66003/0/0/0/0/0</t>
  </si>
  <si>
    <t>3349/2111/2045/0/0/0/0/0/0</t>
  </si>
  <si>
    <t>3412/2111/2950/16420/0/0/0/0/0</t>
  </si>
  <si>
    <t>3412/2111/2950/16420/0/0/0/7/0</t>
  </si>
  <si>
    <t>3412/2111/2950/16432/0/0/0/0/0</t>
  </si>
  <si>
    <t>3412/2111/2950/16600/0/0/0/0/0</t>
  </si>
  <si>
    <t>3412/2111/2950/16807/0/0/0/0/0</t>
  </si>
  <si>
    <t>3612/2111/2950/0/0/0/0/0/0</t>
  </si>
  <si>
    <t>3612/2111/2950/39096/0/0/0/0/0</t>
  </si>
  <si>
    <t>3612/2111/2950/39788/0/0/0/7/0</t>
  </si>
  <si>
    <t>3613/2111/2950/0/0/0/0/31/0</t>
  </si>
  <si>
    <t>3613/2111/2950/13027/0/0/0/7/0</t>
  </si>
  <si>
    <t>3613/2111/2950/30031/0/0/0/7/0</t>
  </si>
  <si>
    <t>3613/2111/2950/39078/0/0/0/7/0</t>
  </si>
  <si>
    <t>3613/2111/2950/39788/0/0/0/0/0</t>
  </si>
  <si>
    <t>3634/2111/2999/30021/0/0/0/7/0</t>
  </si>
  <si>
    <t>6221/2111/2950/0/0/0/0/0/0</t>
  </si>
  <si>
    <t>6221/2111/2950/13800/0/0/0/0/0</t>
  </si>
  <si>
    <t>6221/2111/2950/13800/0/0/0/0/1</t>
  </si>
  <si>
    <t>3316/2112/2040/0/0/0/0/0/0</t>
  </si>
  <si>
    <t>3322/2112/2040/11634/0/0/0/0/0</t>
  </si>
  <si>
    <t>3639/2131/2950/30035/0/0/0/31/0</t>
  </si>
  <si>
    <t>3412/2132/2950/16420/0/0/0/0/0</t>
  </si>
  <si>
    <t>3412/2132/2950/16432/0/0/0/7/0</t>
  </si>
  <si>
    <t>3412/2132/2950/16521/0/0/0/0/0</t>
  </si>
  <si>
    <t>3412/2132/2950/16807/0/0/0/7/0</t>
  </si>
  <si>
    <t>3412/2132/2976/16432/0/0/0/0/0</t>
  </si>
  <si>
    <t>3412/2132/2976/16521/0/0/0/0/0</t>
  </si>
  <si>
    <t>3612/2132/2950/39788/0/0/0/7/0</t>
  </si>
  <si>
    <t>3613/2132/2950/30036/0/0/0/7/0</t>
  </si>
  <si>
    <t>3613/2132/2950/39096/0/0/0/0/0</t>
  </si>
  <si>
    <t>3613/2132/2950/39788/0/0/0/0/0</t>
  </si>
  <si>
    <t>3613/2132/2950/39788/0/0/0/7/0</t>
  </si>
  <si>
    <t>3639/2132/2950/30036/0/0/0/1/0</t>
  </si>
  <si>
    <t>3639/2132/2950/30036/0/0/0/7/0</t>
  </si>
  <si>
    <t>3412/2133/2950/30036/0/0/0/0/0</t>
  </si>
  <si>
    <t>6171/2133/2020/31032/0/0/0/31/0</t>
  </si>
  <si>
    <t>6310/2141/2799/0/0/0/0/0/0</t>
  </si>
  <si>
    <t>3634/2142/2999/53320/0/0/0/0/0</t>
  </si>
  <si>
    <t>4363/2212/2700/30041/0/0/0/0/0</t>
  </si>
  <si>
    <t>4399/2229/2700/0/0/0/0/53/0</t>
  </si>
  <si>
    <t>3900/2229/2040/0/0/0/0/50/0</t>
  </si>
  <si>
    <t>2143/2310/2049/0/0/0/0/0/0</t>
  </si>
  <si>
    <t>3312/2321/2040/52620/0/0/0/1/0</t>
  </si>
  <si>
    <t>3419/2321/2976/43526/0/0/0/0/0</t>
  </si>
  <si>
    <t>3412/2322/2950/0/0/0/0/0/0</t>
  </si>
  <si>
    <t>3612/2322/2950/0/0/0/0/0/0</t>
  </si>
  <si>
    <t>3619/2322/2950/0/0/0/0/0/0</t>
  </si>
  <si>
    <t>3632/2322/2950/0/0/0/0/0/0</t>
  </si>
  <si>
    <t>3745/2322/2950/0/0/0/0/0/0</t>
  </si>
  <si>
    <t>1014/2324/2950/65739/0/0/0/0/0</t>
  </si>
  <si>
    <t>2143/2324/2950/18669/0/0/0/0/0</t>
  </si>
  <si>
    <t>3312/2324/2040/52620/0/0/0/0/0</t>
  </si>
  <si>
    <t>3412/2324/2950/16001/0/0/0/0/0</t>
  </si>
  <si>
    <t>3412/2324/2950/16420/0/0/0/0/0</t>
  </si>
  <si>
    <t>3412/2324/2950/16600/0/0/0/0/0</t>
  </si>
  <si>
    <t>3412/2324/2950/16807/0/0/0/0/0</t>
  </si>
  <si>
    <t>1036/2324/2500/21003/0/0/0/0/0</t>
  </si>
  <si>
    <t>3613/2324/2950/11001/0/0/0/0/0</t>
  </si>
  <si>
    <t>3613/2324/2950/11630/0/0/0/0/0</t>
  </si>
  <si>
    <t>3613/2324/2950/12001/0/0/0/0/0</t>
  </si>
  <si>
    <t>3613/2324/2950/15001/0/0/0/0/0</t>
  </si>
  <si>
    <t>3613/2324/2950/16805/0/0/0/0/0</t>
  </si>
  <si>
    <t>3613/2324/2950/69295/0/0/0/0/0</t>
  </si>
  <si>
    <t>3613/2324/2950/69400/0/0/0/0/0</t>
  </si>
  <si>
    <t>3639/2324/2960/0/0/0/0/0/0</t>
  </si>
  <si>
    <t>6221/2324/2950/13800/0/0/0/0/1</t>
  </si>
  <si>
    <t>3633/3112/2997/0/0/0/0/0/0</t>
  </si>
  <si>
    <t>4339/3121/2700/0/0/0/0/0/0</t>
  </si>
  <si>
    <t>Vratka grantu</t>
  </si>
  <si>
    <t>ŽP - správní poplatky</t>
  </si>
  <si>
    <t xml:space="preserve">FRB -  úroky </t>
  </si>
  <si>
    <t>Vratka dotace</t>
  </si>
  <si>
    <t>POKUTY, NÁKLADY ŘÍZENÍ</t>
  </si>
  <si>
    <t>Spolkový dům - služby, náhrady</t>
  </si>
  <si>
    <t>FTH - Příjmy z úroků</t>
  </si>
  <si>
    <t>Tebis - odvod ze zisku</t>
  </si>
  <si>
    <t>FTH - Služby</t>
  </si>
  <si>
    <t>zz-ostatní nezařazené výdaje (vč.dotací a KACP)</t>
  </si>
  <si>
    <t xml:space="preserve">Pořízení Management Plan </t>
  </si>
  <si>
    <t xml:space="preserve">Dotace pro školství MŠMT </t>
  </si>
  <si>
    <t>zz - ostatní nezařazené položky (vč.depozitního účtu)</t>
  </si>
  <si>
    <t>34xx</t>
  </si>
  <si>
    <t>22xx</t>
  </si>
  <si>
    <t>23xx</t>
  </si>
  <si>
    <t>10xx</t>
  </si>
  <si>
    <t>43xx</t>
  </si>
  <si>
    <t>21xxx</t>
  </si>
  <si>
    <t>52xx</t>
  </si>
  <si>
    <t>55xx</t>
  </si>
  <si>
    <t>61xx</t>
  </si>
  <si>
    <t>Kultura - inv.výdaje</t>
  </si>
  <si>
    <t>Školství /kapitálové výdaje</t>
  </si>
  <si>
    <t>UR 6/2023</t>
  </si>
  <si>
    <t>Návrh 2024</t>
  </si>
  <si>
    <t>MŠ Pohádka - odvod do rozpočtu</t>
  </si>
  <si>
    <t>Knihovna KH - vyúčtování dotace</t>
  </si>
  <si>
    <t>Pojistné plnění</t>
  </si>
  <si>
    <t>Sportoviště - pojistné náhrady</t>
  </si>
  <si>
    <t>ostranska@mu.kutnahora.cz</t>
  </si>
  <si>
    <t>Oddělení interního auditu - Ing. Linda Kasalová</t>
  </si>
  <si>
    <t>kasalova@mu.kutnahora.cz</t>
  </si>
  <si>
    <t xml:space="preserve">Odbor projektového řízení a sportu - Oddělní sportu - Ing. Ovčačík </t>
  </si>
  <si>
    <t>kosova@mu.kutnahora.cz</t>
  </si>
  <si>
    <t>Oddělení regionálního rozvoje a územního plánování - Mgr. Věra Klimentová</t>
  </si>
  <si>
    <t>maternova@mu.kutnahora.cz</t>
  </si>
  <si>
    <t>návrh 24</t>
  </si>
  <si>
    <t>návrh 2024</t>
  </si>
  <si>
    <t>návrh</t>
  </si>
  <si>
    <t>výdaje u OrgC 2700</t>
  </si>
  <si>
    <t>Od 1.1.2024 změna stavebního zákona</t>
  </si>
  <si>
    <t>2023 - 25000 Kč, pronájem klubovny</t>
  </si>
  <si>
    <t>pouze to co je již smluvně dané</t>
  </si>
  <si>
    <t>až dle přiznání</t>
  </si>
  <si>
    <t>zatím bez zapojení - navyšuje zůstatek</t>
  </si>
  <si>
    <t>Fond pro podporu a rozvoj sociálních služeb - spadá pod Odbor sociálních věcí a zdravotnictví</t>
  </si>
  <si>
    <t>Doplní EO pokud bude plánovaná položka</t>
  </si>
  <si>
    <t>Vše se odvádí do fond, příjem je nulový</t>
  </si>
  <si>
    <t>Příjmy z podílů na zisku a dividend -  JCDECAUX</t>
  </si>
  <si>
    <t>Autobus. nádraží - IDSK</t>
  </si>
  <si>
    <t>Tesař</t>
  </si>
  <si>
    <t>sníženo o 60%</t>
  </si>
  <si>
    <t>2010 Celkem</t>
  </si>
  <si>
    <t>2020 Celkem</t>
  </si>
  <si>
    <t>2030 Celkem</t>
  </si>
  <si>
    <t>2040 Celkem</t>
  </si>
  <si>
    <t>2045 Celkem</t>
  </si>
  <si>
    <t>2047 Celkem</t>
  </si>
  <si>
    <t>2049 Celkem</t>
  </si>
  <si>
    <t>2050 Celkem</t>
  </si>
  <si>
    <t>2055 Celkem</t>
  </si>
  <si>
    <t>2059 Celkem</t>
  </si>
  <si>
    <t>2070 Celkem</t>
  </si>
  <si>
    <t>2086 Celkem</t>
  </si>
  <si>
    <t>2090 Celkem</t>
  </si>
  <si>
    <t>2094 Celkem</t>
  </si>
  <si>
    <t>2100 Celkem</t>
  </si>
  <si>
    <t>2200 Celkem</t>
  </si>
  <si>
    <t>2300 Celkem</t>
  </si>
  <si>
    <t>2490 Celkem</t>
  </si>
  <si>
    <t>2500 Celkem</t>
  </si>
  <si>
    <t>2698 Celkem</t>
  </si>
  <si>
    <t>2699 Celkem</t>
  </si>
  <si>
    <t>2700 Celkem</t>
  </si>
  <si>
    <t>2799 Celkem</t>
  </si>
  <si>
    <t>2870 Celkem</t>
  </si>
  <si>
    <t>2950 Celkem</t>
  </si>
  <si>
    <t>2960 Celkem</t>
  </si>
  <si>
    <t>2997 Celkem</t>
  </si>
  <si>
    <t>2998 Celkem</t>
  </si>
  <si>
    <t>2999 Celkem</t>
  </si>
  <si>
    <t>Celkový součet</t>
  </si>
  <si>
    <t>dle smlouvy</t>
  </si>
  <si>
    <t>Příjem z úroků  FOND SOC.VĚCÍ</t>
  </si>
  <si>
    <t>4xxx</t>
  </si>
  <si>
    <t>Skutečnost 2022</t>
  </si>
  <si>
    <t>23´351´950,00</t>
  </si>
  <si>
    <t>38´721´830,00</t>
  </si>
  <si>
    <t>CELKEM PŘÍJMY bez DPPO za obec:</t>
  </si>
  <si>
    <t>23´351 950,00</t>
  </si>
  <si>
    <t>38´721 830,00</t>
  </si>
  <si>
    <t>UR/6/23</t>
  </si>
  <si>
    <t>UR 06/23</t>
  </si>
  <si>
    <t>k 06/23</t>
  </si>
  <si>
    <t>Okr.hosp.komora příspěvek</t>
  </si>
  <si>
    <t>Vratka pokuty Živnost. úřad</t>
  </si>
  <si>
    <t>Chodník Čáslavská ul.</t>
  </si>
  <si>
    <t>Parkovací systém Sedlec</t>
  </si>
  <si>
    <t>Husova 145 - bývalá knihovna - PD na MŠ</t>
  </si>
  <si>
    <t>Jana Palacha čp 145  - Bývalá družina - projektová dokumentace + demolice</t>
  </si>
  <si>
    <t>ZŠ Kamenná stezka WC - PD</t>
  </si>
  <si>
    <t>Veřejný prostor - Knihovna KH</t>
  </si>
  <si>
    <t>Přípravné práce projektů</t>
  </si>
  <si>
    <t>Rezervy investičních výdajů</t>
  </si>
  <si>
    <t>U Lorce 59 - rekonstrukce vytápění (kotel)</t>
  </si>
  <si>
    <t>ZM - školení, vzdělání</t>
  </si>
  <si>
    <t>Obnova rybníka Lorčák</t>
  </si>
  <si>
    <t>Fond regenerace - reklamní zařízení (OSVČ)</t>
  </si>
  <si>
    <t>Energetický management</t>
  </si>
  <si>
    <t>Dačického dům - DrDHM</t>
  </si>
  <si>
    <t>Záchranná stanice Lipec, z. s. Slepotice, Lipec 18</t>
  </si>
  <si>
    <t>Komunikace Žižkova brána</t>
  </si>
  <si>
    <t>Hřbitov - znalecké posudky</t>
  </si>
  <si>
    <t>TS - pronájem kontejnerů KOV</t>
  </si>
  <si>
    <t>Č.telekomun.úřad-poplatky r 2023</t>
  </si>
  <si>
    <t>APK - dotace včetně spoluúčasti celkem</t>
  </si>
  <si>
    <t>Klubus - PHM</t>
  </si>
  <si>
    <t>Klubus - materiál</t>
  </si>
  <si>
    <t>Klubus - právní služby</t>
  </si>
  <si>
    <t>6171/5139/2059/0/0/0/0/60/0</t>
  </si>
  <si>
    <t>6171/5156/2059/0/0/0/0/60/0</t>
  </si>
  <si>
    <t>6171/5166/2059/0/0/0/0/60/0</t>
  </si>
  <si>
    <t>Opatrovnictví - výdaje včetně odvodů</t>
  </si>
  <si>
    <t>SDH - DrHDM  Malín</t>
  </si>
  <si>
    <t>SDH - elektrická energie  Malín</t>
  </si>
  <si>
    <t>SDH - lékařské prohlídky  Malín</t>
  </si>
  <si>
    <t>SDH - nákup materiálu  Malín</t>
  </si>
  <si>
    <t>SDH - ochranné pomůcky  Malín</t>
  </si>
  <si>
    <t>SDH - opravy  Malín</t>
  </si>
  <si>
    <t>SDH - plyn  Malín</t>
  </si>
  <si>
    <t>SDH - pohonné hmoty  Malín</t>
  </si>
  <si>
    <t>SDH - pojištění  Malín</t>
  </si>
  <si>
    <t>SDH - potraviny  Malín</t>
  </si>
  <si>
    <t>SDH - refundace platy  Malín</t>
  </si>
  <si>
    <t>SDH - služby  Malín</t>
  </si>
  <si>
    <t>SDH - služby elektron. kom.  Malín</t>
  </si>
  <si>
    <t>SDH - Služby školení a vzdělávání  Malín</t>
  </si>
  <si>
    <t>SDH - studená voda  Malín</t>
  </si>
  <si>
    <t>SDH - DrHDM Poličany</t>
  </si>
  <si>
    <t>SDH - elektrická energie Poličany</t>
  </si>
  <si>
    <t>SDH - lékařské prohlídky Poličany</t>
  </si>
  <si>
    <t>SDH - nákup materiálu Poličany</t>
  </si>
  <si>
    <t>SDH - ochranné pomůcky Poličany</t>
  </si>
  <si>
    <t>SDH - opravy Poličany</t>
  </si>
  <si>
    <t>SDH - pohonné hmoty Poličany</t>
  </si>
  <si>
    <t>SDH - pojištění Poličany</t>
  </si>
  <si>
    <t>SDH - potraviny Poličany</t>
  </si>
  <si>
    <t>SDH - refundace platy Poličany</t>
  </si>
  <si>
    <t>SDH - služby Poličany</t>
  </si>
  <si>
    <t>SDH - služby elektron. kom. Poličany</t>
  </si>
  <si>
    <t>SDH - Služby školení a vzdělávání Poličany</t>
  </si>
  <si>
    <t>SDH - studená voda Poličany</t>
  </si>
  <si>
    <t>Reprefond starosty města (OV)</t>
  </si>
  <si>
    <t>CR - DrDHM</t>
  </si>
  <si>
    <t>Venkovní bazény - opravy a údržba</t>
  </si>
  <si>
    <t>Dotace do sportovních oddílů jinde neuvedené</t>
  </si>
  <si>
    <t>Komunikace - neinvestiční výdaje</t>
  </si>
  <si>
    <t>3322/5213/2899/69471/0/0/0/0/0</t>
  </si>
  <si>
    <t>3725/5164/2960/53333/0/0/0/0/0</t>
  </si>
  <si>
    <t>3722/5169/2960/53339/0/0/0/0/0</t>
  </si>
  <si>
    <t xml:space="preserve">Zapojení veřejnosti do rozvoje obce-Otrokovice  </t>
  </si>
  <si>
    <t>5212/5169/2960/62005/0/0/0/0/0</t>
  </si>
  <si>
    <t>2212/5171/2960/20094/0/0/0/0/0</t>
  </si>
  <si>
    <t>1014/5222/2960/45589/0/0/0/0/0</t>
  </si>
  <si>
    <t>FONM - čerpáno na opravu nemovitého majetku</t>
  </si>
  <si>
    <t>Kultura - Investiční příspěvky a NFV PO vč. dotačních</t>
  </si>
  <si>
    <t>Sociální služby - inv.výdaje (Peč.služba)</t>
  </si>
  <si>
    <t xml:space="preserve">Krizové zázemí </t>
  </si>
  <si>
    <t>nově značeny výdaje kapitolou</t>
  </si>
  <si>
    <t>xxxx</t>
  </si>
  <si>
    <t>Participativní rozpočet - investice</t>
  </si>
  <si>
    <t>Pečovatelská služba - rezerva</t>
  </si>
  <si>
    <t>nově bude doplněno!</t>
  </si>
  <si>
    <t>Středisko výchovné péče Kutná Hora</t>
  </si>
  <si>
    <t>Bienále Kytarové soutěže; nutný tisk cizojazyčných materiálů; předměty pro sportovní akce podporované městem</t>
  </si>
  <si>
    <t>Obnovení partnerské spolupráce (ubytování, doprava, aj.)</t>
  </si>
  <si>
    <t>Kostel Sv. Jana Nepomuckého - koncerty, Velikonoční, Vánoční výstava, výstavy ve Sp domě</t>
  </si>
  <si>
    <t>Příspěvek se odvíjí od počtu oybvatel KH, k 1.1.2023 je počet obyvatel 21 417 osob</t>
  </si>
  <si>
    <t>Rozšířen sortimentu; zboží k výročí zapsání KH na UNESCO</t>
  </si>
  <si>
    <t>Požadován celkový příšpěvek dle žádosti 2 321000,- (příspěvek 2 171 000,- + 150 000,- spoluúčast dotace)</t>
  </si>
  <si>
    <t>Kutnopolis z.s.</t>
  </si>
  <si>
    <t>Požadován celkový příšpěvek na provoz 7 500 000,-</t>
  </si>
  <si>
    <t>Požadován celkový příšpěvek na provoz 2 720 324,- u položky 521 dochází k nárůstu z důvodu přijetí v r. 2023 jednoho pracovníka na půl úvazek, zároveň
je toto odsud hrazeno z příspěvku pouze částečně, a to z toho důvodu, že ze zbylého 1 000 000 Kč odhadujeme platy z DPP/DPČ brigádníků</t>
  </si>
  <si>
    <t>Celostátní mediální prezentace - příspěvek</t>
  </si>
  <si>
    <t>Požadován celkový příšpěvek na provoz 12 557 000,-</t>
  </si>
  <si>
    <t>Požadován celkový příšpěvek na provoz 3 430 000,-</t>
  </si>
  <si>
    <t>Analytické práce - strategie vzdělávání</t>
  </si>
  <si>
    <t>Požadován celkový příšpěvek na provoz 8 694 000,-</t>
  </si>
  <si>
    <t>(multifunkční hřiště - 600 tis. Kč; mlhoviště MŠ 17. listopadu - 400 tis. Kč; mlhoviště MŠ Benešova 500 tis. Kč)</t>
  </si>
  <si>
    <t>požadován celkový příšpěvek na provoz 1 499 000,-</t>
  </si>
  <si>
    <t>MŠ Pohádka - příspěvek na investice</t>
  </si>
  <si>
    <t>realizovat z účelově určených prostředků na energie za rok 2023 - 900 tis. jen Pohádka - celkem jen za první pololetí 2023 zůstatek za energie v r. 2023, jedná se o 2 hřiště na dvou zahradách, plus terénní úpravy, osazení i prvky pro děti 6 - 12 let, hřiště je přístupné veřejnosti v odpoledních hodinách</t>
  </si>
  <si>
    <t>požadován celkový příšpěvek na provoz 3 285 000,-</t>
  </si>
  <si>
    <t>Požadován celkový příšpěvek na provoz 7 520 000,-</t>
  </si>
  <si>
    <t>účetní uvádí schválený rozpočet 2 500 000,- za rok 2023 / požadován celkový příšpěvek na provoz 2 540 000,-</t>
  </si>
  <si>
    <t>Výstava 1 svět. Válka</t>
  </si>
  <si>
    <t>Muzejní noc</t>
  </si>
  <si>
    <t>Noc kostelů</t>
  </si>
  <si>
    <t>Slavnostní otevření GFJ 5.1.2024</t>
  </si>
  <si>
    <t>Otevřená radnice</t>
  </si>
  <si>
    <t>17. listopadu 1989 - připomenutí</t>
  </si>
  <si>
    <t>30. výroční zápisu KH na seznam UNESCO</t>
  </si>
  <si>
    <t>Jubilejní ročník, pořádá se 1x za 2 roky</t>
  </si>
  <si>
    <t>30. výročí zápisu KH na seznam UNESCO (přípravná fáze)</t>
  </si>
  <si>
    <t>Analytické práce - strategie kultury</t>
  </si>
  <si>
    <t>Vyhotovení záznamu slavnotního otevření SD, promovideo k 30. výročí KH na UNESCO, UNESCO textilní bannery; kalendář TOP a UNESCO akcí 2025</t>
  </si>
  <si>
    <t>Spoluúčast k dotaci (30%), MKČR Program pro podpory památky světového dědictví</t>
  </si>
  <si>
    <t>MŠ - investiční příspěvek na investice</t>
  </si>
  <si>
    <t>ŠJ - investiční příspěvek</t>
  </si>
  <si>
    <t>Varovná protipovodňová opatření</t>
  </si>
  <si>
    <t>Sbor dobrovolných hasičů - auta - Poličany vl.podíl</t>
  </si>
  <si>
    <t>KÚ - Sbor dobrovolných hasičů - auta - Poličany</t>
  </si>
  <si>
    <t>MVČR - Sbor dobrovolných hasičů - auta - Poličany</t>
  </si>
  <si>
    <t>Sbor dobrovolných hasičů - auta -  Malín vl.podíl</t>
  </si>
  <si>
    <t>KÚ - Sbor dobrovolných hasičů - auta - Malín</t>
  </si>
  <si>
    <t>MVČR - Sbor dobrovolných hasičů - auta -  Malín</t>
  </si>
  <si>
    <t>Kybernetická bezpečnost</t>
  </si>
  <si>
    <t xml:space="preserve">4x APK, Hr. mz. a´24 135 x12 =1 158 480,- Kč+20 000,- Kč odměna/rok = 1 178 480,- Kč + SP.+ZP. - celkem 1 576 806,- Kč. (z celkové rozpočtované částky 1 576 806,- Kč bude hrazena 10% spoluúčast projektu APK - 324 336,- Kč/1 rok). Po dobu trvání projektu EU APK do roku 2025 bude z rozpočtované částky 1 576 806,- Kč na 4 kmenové APK vráceno 1 252 470,- Kč. </t>
  </si>
  <si>
    <t>4349/5011/2100/49032/0/0/1441/43/0</t>
  </si>
  <si>
    <t>APK - roku 2023-2026 - vl.podíl - přímé</t>
  </si>
  <si>
    <t>4349/5011/2100/49032/0/0/1441/48/0</t>
  </si>
  <si>
    <t>APK - roku 2023-2026 - vl.podíl - paušální</t>
  </si>
  <si>
    <t>4349/5011/2100/49032/0/13021/1441/47/0</t>
  </si>
  <si>
    <t>APK - roku 2023-2026 - SR - paušální</t>
  </si>
  <si>
    <t>4349/5011/2100/49032/0/13021/1445/41/0</t>
  </si>
  <si>
    <t>APK - roku 2023-2026  - EU přímé</t>
  </si>
  <si>
    <t>4349/5011/2100/49032/0/13021/1445/46/0</t>
  </si>
  <si>
    <t>APK - roku 2023-2026 - EU paušální</t>
  </si>
  <si>
    <t>VLASTNÍ PODÍL - MUSÍ BÝT V ROZPOČTU</t>
  </si>
  <si>
    <t>4349/5031/2100/49032/0/0/1441/43/0</t>
  </si>
  <si>
    <t>4349/5031/2100/49032/0/0/1441/48/0</t>
  </si>
  <si>
    <t>4349/5031/2100/49032/0/13021/1441/42/0</t>
  </si>
  <si>
    <t>APK - roku 2023-2026 - SR - přímé</t>
  </si>
  <si>
    <t>4349/5031/2100/49032/0/13021/1441/47/0</t>
  </si>
  <si>
    <t>APK - roku 2023-2026 - SR paušální</t>
  </si>
  <si>
    <t>4349/5031/2100/49032/0/13021/1445/41/0</t>
  </si>
  <si>
    <t>4349/5031/2100/49032/0/13021/1445/46/0</t>
  </si>
  <si>
    <t>APK - roku 2023-2026- EU paušální</t>
  </si>
  <si>
    <t>4349/5032/2100/49032/0/0/1441/43/0</t>
  </si>
  <si>
    <t>4349/5032/2100/49032/0/0/1441/48/0</t>
  </si>
  <si>
    <t>4349/5032/2100/49032/0/13021/1441/42/0</t>
  </si>
  <si>
    <t>4349/5032/2100/49032/0/13021/1441/47/0</t>
  </si>
  <si>
    <t>4349/5032/2100/49032/0/13021/1445/41/0</t>
  </si>
  <si>
    <t>4349/5032/2100/49032/0/13021/1445/46/0</t>
  </si>
  <si>
    <t>4349/5134/2100/49032/0/0/1441/48/0</t>
  </si>
  <si>
    <t>MP - stejnokroje</t>
  </si>
  <si>
    <t>4349/5134/2100/49032/0/13021/1441/47/0</t>
  </si>
  <si>
    <t>4349/5134/2100/49032/0/13021/1445/46/0</t>
  </si>
  <si>
    <t>4349/5137/2100/49032/0/0/1441/48/0</t>
  </si>
  <si>
    <t>MP - radiostanice</t>
  </si>
  <si>
    <t>4349/5137/2100/49032/0/13021/1441/47/0</t>
  </si>
  <si>
    <t>4349/5137/2100/49032/0/13021/1445/46/0</t>
  </si>
  <si>
    <t>4349/5167/2100/49032/0/0/1441/48/0</t>
  </si>
  <si>
    <t>4349/5167/2100/49032/0/13021/1441/47/0</t>
  </si>
  <si>
    <t>4349/5167/2100/49032/0/13021/1445/46/0</t>
  </si>
  <si>
    <t>4349/5169/2100/49032/0/0/1441/48/0</t>
  </si>
  <si>
    <t>APK - služby pro dotaci</t>
  </si>
  <si>
    <t>4349/5169/2100/49032/0/13021/1441/47/0</t>
  </si>
  <si>
    <t>4349/5169/2100/49032/0/13021/1445/46/0</t>
  </si>
  <si>
    <t>24 str. + 1 OP</t>
  </si>
  <si>
    <t>Zákonný nárok dle zákon 553/1991 Sb. § 8 a) - 300 tis. na jednoho strážníka, který by odešel po 15 letech ve věku 50ti let.</t>
  </si>
  <si>
    <t>Důchod, výročí, náborový příspěvek á 50 000,- Kč, příspěvek za odsloužená léta po 10 letech a pak každých 5 let, á 8 000,- Kč, 10 000,- 12 000, 14 000, 16 000, 18 000…</t>
  </si>
  <si>
    <t>Ochranné nápoje § 8 NV č. 361/2007 Sb.</t>
  </si>
  <si>
    <t>Vybavení pro pracovníky odchytu zvěře</t>
  </si>
  <si>
    <t>Zdravotnické potřeby pro poskytnutí první pomoci (dopravní nehody, vážné zranění v důsledku pádu, rvačky, apod.)</t>
  </si>
  <si>
    <t>Rostoucí ceny oproti roku 2023 (výstroj pro strážníky + APK)</t>
  </si>
  <si>
    <t>Odborná literatura - Zákony, BESIP, apod.</t>
  </si>
  <si>
    <t>Kancelářské potřeby, tonery, tiskoviny, kazety Drüg test, hygienické potřeby, baterie, apod.</t>
  </si>
  <si>
    <t>Postupné zvyšování cen PHM na trhu (oproti roku 2023), v provozu tři služební vozidla.</t>
  </si>
  <si>
    <t>Postupné zvýšení cen oproti roku 2023</t>
  </si>
  <si>
    <t>Nájemné střelnice Kluky PČR, terče, náboje, apod. smlouva s Krajským ředitelstvím  Středočeského kraje PČR Praha</t>
  </si>
  <si>
    <t>Školení strážníků - prolongy, VŠ veterinární Brno - odchyt toulavých zvířat</t>
  </si>
  <si>
    <t>Kalibrace přístrojů Drüg test, alkohol tester, radar, mytí sl. vozidel, periodická revize MKDS -smluvně, ekologická likvidace zařízení</t>
  </si>
  <si>
    <t>Smlouva na pronájem psů a´30 000,- K/rok (pojistné, ošetření, očkování, krmivo, apod.)</t>
  </si>
  <si>
    <t>Pracovní úrazy, náhrada za školení nově získaného strážníka s osvědčením, apod.</t>
  </si>
  <si>
    <t>Osvědčení strážníka, zbraně, apod.</t>
  </si>
  <si>
    <t>12 x 31 280</t>
  </si>
  <si>
    <t>letos 9 600 tis.; změna trasy a frekvence (1.100 tis.),+ inflace 11%</t>
  </si>
  <si>
    <t>optim.linek 707,782-784, 803; vlak R41 (odhad 300 tis.); + inflace 11%</t>
  </si>
  <si>
    <t>Demografický portál</t>
  </si>
  <si>
    <t>havarijní stav - PD zhotovena, rozpočet akce cca 12/23 - VŘ na zhotovitele cca 1-2/24 - započetí prací cca 5/24 - akce bude rozdělena do několika etap dle finančních možností - předpoklad dotace ORP MK cca 500 tis. Kč</t>
  </si>
  <si>
    <t>čp.1 Kaňk - ohradní zeď</t>
  </si>
  <si>
    <t xml:space="preserve">havarijní stav - KP - část zdi zborcená, bude nutné celkově přezdít vč.základů - PD cca 3/24 - VŘ na zhotovitele cca 5/24 - započetí prací cca 6/24 - bez možnosti dotace </t>
  </si>
  <si>
    <t>čp.321 (489) Jungmannovo nám. - střecha, okna</t>
  </si>
  <si>
    <t>zatéká, vikýře a okna špatný stav - předpoklad provedení prací r.2024 - předpoklad dotace Prog.regenerace MK cca 400 tis.Kč</t>
  </si>
  <si>
    <t>pokračující akce - SOD do 1.12.2028 - zbývá 
dokončit opravu za 10 876 tis. Kč - předpoklad 
dotace Prog.regenerace MK cca 800 tis. Kč</t>
  </si>
  <si>
    <t>závěrečná etapa - předpoklad dotace 
Prog.regenerace MK cca 300 tis. Kč</t>
  </si>
  <si>
    <t>Vlašský dvůr - restaurování vitráží</t>
  </si>
  <si>
    <t>pokračující akce - SOD do 30.11.23 - předpoklad 
prodloužení do 30.11.25 - zbývá dokončit 
opravu za 5 183 tis. Kč - předpoklad dotace 
PZAD MK cca 700 tis. Kč</t>
  </si>
  <si>
    <t>prý se sníží o 2%</t>
  </si>
  <si>
    <t>Nová smlouva úklid Sankt.dům, Sp.dům, kostel sv.JN, Dynatech, přezkum hospodaření</t>
  </si>
  <si>
    <t>LKA v případě přiznání dotace SOD</t>
  </si>
  <si>
    <t>Návaznost na "pilotní projekt" ZŠ Žižkov</t>
  </si>
  <si>
    <t>ZŠ Kutná Hora - osvětlení tříd</t>
  </si>
  <si>
    <t xml:space="preserve">Spoluúčast města 55,6% - celkově bude stát 4,3 mil. Kč </t>
  </si>
  <si>
    <t>Odhad na PD. Míra podpory je 85 %, resp. 30 % u projektů řešících hospodaření se srážkovou vodou mimo území se stávající zástavbou.</t>
  </si>
  <si>
    <t xml:space="preserve">Odhadované náklady (údaj z architektonické studie) 8 500 000,- Kč. 50% spoluúčast města a 400 000,- dotační manager. </t>
  </si>
  <si>
    <t>Pokud by byla výzva jinak, lze získat dotaci 30 mil. Kč, ale při ceně 90-100 mil. Kč půjde z rozpočtu města 60-70 mil. Kč, to nyní nelze obejít. </t>
  </si>
  <si>
    <t>HZ Poličany</t>
  </si>
  <si>
    <t>Pokud nebude realizováno ve 2023 - zatemnění haly</t>
  </si>
  <si>
    <t>Převod z 2023 - dodat zdůvodnění</t>
  </si>
  <si>
    <t>Sparta - UMT Palachovka- převod do roku 2024 - Schválená spoluúčast</t>
  </si>
  <si>
    <t>Protierozních opatření na Kuklíku</t>
  </si>
  <si>
    <t>Nutná výměna běžícího pásu v posilovně</t>
  </si>
  <si>
    <t>Pouze pokrytí úklidových a hyg.prostředků</t>
  </si>
  <si>
    <t>Vzdálený přístup ovládání</t>
  </si>
  <si>
    <t>Pronájem popelnic</t>
  </si>
  <si>
    <t>izolace střechy, zateplení - únik tepla</t>
  </si>
  <si>
    <t>ZS - investice</t>
  </si>
  <si>
    <t>Nákup baterie - rolba 250 tis. , napojení tepelného čerpadla do kotelny 120 tis.</t>
  </si>
  <si>
    <t>nevíme cenu za úklid - 10%</t>
  </si>
  <si>
    <t>minimum pokrývající revize, Jablotron, odpad</t>
  </si>
  <si>
    <t>Výměna sítí nad skly mantinelů, opravy nátěrů zábradlí na ochozech, laminace baltimoru</t>
  </si>
  <si>
    <t>Opravy dlažby před sezónou, oprava brouzdaliště</t>
  </si>
  <si>
    <t>Oprava zámkové dlažby</t>
  </si>
  <si>
    <t>Zdravá Kutná Hora</t>
  </si>
  <si>
    <t>Hala BIOS -  opravy</t>
  </si>
  <si>
    <t>Hala BIOS - služby</t>
  </si>
  <si>
    <t>Hala BIOS - lékárnička</t>
  </si>
  <si>
    <t>Hala BIOS - materiál</t>
  </si>
  <si>
    <t>Hala BIOS - nájemné</t>
  </si>
  <si>
    <t>Sokolák - atletické hřiště</t>
  </si>
  <si>
    <t>odhad nákladů na opravu</t>
  </si>
  <si>
    <t>TJ Sokol Kaňk, z.s. - VPS - provoz</t>
  </si>
  <si>
    <t>AKP - dotace</t>
  </si>
  <si>
    <t>AkP - dotace</t>
  </si>
  <si>
    <t>pro osadní výbory</t>
  </si>
  <si>
    <t>Sídliště Hlouška "průmyslovák"</t>
  </si>
  <si>
    <t>Nákup Materiálu - plomby (myslivost, rybářství)</t>
  </si>
  <si>
    <t xml:space="preserve">Územně analytické podklady </t>
  </si>
  <si>
    <t>vše dle záloh</t>
  </si>
  <si>
    <t>GFJ- Palackého nám. 377 - voda</t>
  </si>
  <si>
    <t>GFJ- Palackého nám. 377 - el. energie</t>
  </si>
  <si>
    <t>GFJ-Palackého nám. 377-plyn</t>
  </si>
  <si>
    <t>GFJ-Palackého nám. 377-výtah</t>
  </si>
  <si>
    <t>Byty - výměna vodoměrů</t>
  </si>
  <si>
    <t>povinnost ze zákona do r. 2027 osadit dálkově měřitelné vodoměry</t>
  </si>
  <si>
    <t>Nebytové prostory - telefony</t>
  </si>
  <si>
    <t>Nebyty - Perštejnec - přístavba</t>
  </si>
  <si>
    <t>úkol z PVM</t>
  </si>
  <si>
    <t>terasa</t>
  </si>
  <si>
    <t>pokračování oprav</t>
  </si>
  <si>
    <t>WC Libušina ul.-rekonstrukce</t>
  </si>
  <si>
    <t xml:space="preserve">požadavek vznesen opakovaně </t>
  </si>
  <si>
    <t>drobné opravy</t>
  </si>
  <si>
    <t>dle letošního roku</t>
  </si>
  <si>
    <t>K-požádali a nevíme zda budou žádat znovu o příspěvek? Ať si zase případně RM určí?</t>
  </si>
  <si>
    <t>požadavek cestovního ruchu - lesní stezky</t>
  </si>
  <si>
    <t xml:space="preserve">TS </t>
  </si>
  <si>
    <t>příklad - kamerové zkoušky</t>
  </si>
  <si>
    <t xml:space="preserve">1xročně </t>
  </si>
  <si>
    <t>příspěvek od VHS</t>
  </si>
  <si>
    <t>TS + semafor 440 tis. Kč</t>
  </si>
  <si>
    <t>zvýšení poptávky na studie pro dopravní značení</t>
  </si>
  <si>
    <t xml:space="preserve">revize+ nutné opravy </t>
  </si>
  <si>
    <t>Parkovací automaty stáří min. 15let, nutná rekonstrukce nebo nové - oprava názvu položky z Parkovací automaty/chodníky - opravy na Parkovací automaty - opravy</t>
  </si>
  <si>
    <t>TS - JCDecaux - snížení počtu čekáren na údržbu</t>
  </si>
  <si>
    <t>akumulátor + doprava</t>
  </si>
  <si>
    <t>prosinec 2023, leden 2023</t>
  </si>
  <si>
    <t>pokud koupíme - náklady ČMI a servisní náklady</t>
  </si>
  <si>
    <t xml:space="preserve">informativní radary </t>
  </si>
  <si>
    <t>DH park pod Vl. Dvorem</t>
  </si>
  <si>
    <t>vánoční výzdoba</t>
  </si>
  <si>
    <t>projednáno s TS</t>
  </si>
  <si>
    <t>doplnění SM po dotacích</t>
  </si>
  <si>
    <t>VO Táborská (II. etapa, modernizace VO)</t>
  </si>
  <si>
    <t>dotace-spoluúčast</t>
  </si>
  <si>
    <t>VO Fučíkova (III. etapa, modernizace VO)</t>
  </si>
  <si>
    <t>VO Husitská (IV. etapa, modernizace VO)</t>
  </si>
  <si>
    <t xml:space="preserve">Nákup parkovacích automatů </t>
  </si>
  <si>
    <t>není zatím zajištěn znalec</t>
  </si>
  <si>
    <t>Hřbitov - oprava sociální hrobky (hř.Česká)</t>
  </si>
  <si>
    <t>Kamenictví Straka Kolín</t>
  </si>
  <si>
    <t>položka je na "připojení elektro na kulturních akcích - 80 % přefakturováváme</t>
  </si>
  <si>
    <t>K-smlouva</t>
  </si>
  <si>
    <t>posezení, lavičky</t>
  </si>
  <si>
    <t>Otrokovice</t>
  </si>
  <si>
    <t>Zapojení veřejnosti do rozvoje obce-Otrokovice15%</t>
  </si>
  <si>
    <t>3613/5122/2997/0/0/0/0/0/0</t>
  </si>
  <si>
    <t>3313/5137/2956/11003/0/0/0/0/0</t>
  </si>
  <si>
    <t>3613/5151/2950/52628/0/0/0/0/0</t>
  </si>
  <si>
    <t>3613/5153/2950/52628/0/0/0/0/0</t>
  </si>
  <si>
    <t>3613/5154/2950/52628/0/0/0/0/0</t>
  </si>
  <si>
    <t>3613/5162/2956/0/0/0/0/0/0</t>
  </si>
  <si>
    <t>3613/5169/2950/52628/0/0/0/0/0</t>
  </si>
  <si>
    <t>3639/5169/2960/0/0/0/0/2/0</t>
  </si>
  <si>
    <t>3612/5171/2956/0/0/0/0/1/0</t>
  </si>
  <si>
    <t>3613/5171/2956/12024/0/0/0/0/0</t>
  </si>
  <si>
    <t>3632/5171/2960/0/0/0/0/1/0</t>
  </si>
  <si>
    <t>6171/5901/2960/69102/0/0/601/42/0</t>
  </si>
  <si>
    <t>Hřbitov - opravy a údržba</t>
  </si>
  <si>
    <t xml:space="preserve">Mobilní rozhlas - licence </t>
  </si>
  <si>
    <t xml:space="preserve">opravit text na:  Mobilní rozhlas - licence </t>
  </si>
  <si>
    <t>TS - komunikace úklid - silvestr</t>
  </si>
  <si>
    <t>TS mimo rámcovou smlouvu</t>
  </si>
  <si>
    <t>Σ 49 330 505,00</t>
  </si>
  <si>
    <t>Σ 51 517 874,00</t>
  </si>
  <si>
    <t>Σ 55 768 463,00</t>
  </si>
  <si>
    <t>Σ 53 798 214,32</t>
  </si>
  <si>
    <t>Σ 62 612 037,43</t>
  </si>
  <si>
    <t>Σ 60 930 496,00</t>
  </si>
  <si>
    <t>Σ 68 955 496,00</t>
  </si>
  <si>
    <t xml:space="preserve">Kutnohorský Majáles 2024 - služby </t>
  </si>
  <si>
    <t>pořádají studenti - spolupořadatelé Město</t>
  </si>
  <si>
    <t>Požadovaný příspěvek na provoz 480 tis. Kč</t>
  </si>
  <si>
    <t>Nůžkové stany - rozměry 3x3 - 10 ks - využití PAKKování, Svat.slavnosti, 17.litopad atd.</t>
  </si>
  <si>
    <r>
      <t xml:space="preserve">Nadace Kutná Hora - památka UNESCO  - rezerva -  </t>
    </r>
    <r>
      <rPr>
        <b/>
        <sz val="11"/>
        <rFont val="Calibri"/>
        <family val="2"/>
        <charset val="238"/>
        <scheme val="minor"/>
      </rPr>
      <t>spoluúčast k dotaci</t>
    </r>
  </si>
  <si>
    <t>2080 Celkem</t>
  </si>
  <si>
    <t>2600 Celkem</t>
  </si>
  <si>
    <t>2899 Celkem</t>
  </si>
  <si>
    <t>2956 Celkem</t>
  </si>
  <si>
    <r>
      <t xml:space="preserve">Odbor cestovního ruchu, školství a kultury - </t>
    </r>
    <r>
      <rPr>
        <b/>
        <sz val="10"/>
        <rFont val="Calibri"/>
        <family val="2"/>
        <charset val="238"/>
        <scheme val="minor"/>
      </rPr>
      <t>Oddělení</t>
    </r>
    <r>
      <rPr>
        <sz val="10"/>
        <rFont val="Calibri"/>
        <family val="2"/>
        <charset val="238"/>
        <scheme val="minor"/>
      </rPr>
      <t xml:space="preserve"> školství a </t>
    </r>
    <r>
      <rPr>
        <b/>
        <sz val="10"/>
        <rFont val="Calibri"/>
        <family val="2"/>
        <charset val="238"/>
        <scheme val="minor"/>
      </rPr>
      <t>kultury</t>
    </r>
    <r>
      <rPr>
        <sz val="10"/>
        <rFont val="Calibri"/>
        <family val="2"/>
        <charset val="238"/>
        <scheme val="minor"/>
      </rPr>
      <t xml:space="preserve"> - D. Ostřanská</t>
    </r>
  </si>
  <si>
    <t>Pojistky za vozový park (tři služební vozidla), navýšení cen…</t>
  </si>
  <si>
    <t>Nákup software PC, doplnění, obnova..</t>
  </si>
  <si>
    <t>12 převaděčů - výpočet (11 převaděčů á 150,- Kč, původně a´130,- Kč a 1 převaděč á 170,- Kč, původně á 150,- Kč), 21 h*150kč*11os.*10měsíců=346 500,- Kč; 21 h*170*1*10=35 700,- Kč, na odměny 12*4 000=48 000,- Kč, (roční), převaděči 430 200,- Kč, supr. hr. mzda Kubový - střelnice Žižkov 300h*150,- Kč= 45 000,- Kč, supr. hr. mzda Chudomel 4 342*12=52 104,- Kč, celkem  527 304,- Kč.</t>
  </si>
  <si>
    <t>MP - pohoštění</t>
  </si>
  <si>
    <t xml:space="preserve">Odbor projektového řízení a sportu - Oddělní projektového řízení - Ing. Ovčačík </t>
  </si>
  <si>
    <t>Pumptrack Šipší - PD</t>
  </si>
  <si>
    <t>Centrální zásobování teplem - jednání s TEBIS - jedná se jen o odhad 3% z celkové částky 120 mil.</t>
  </si>
  <si>
    <t>Bazén - rekonstrukce - PD</t>
  </si>
  <si>
    <t>jen odhad - 3% z celkové  částky 120 mil.</t>
  </si>
  <si>
    <t>Hřiště Průmyslovák - ORŘ pouze PD - realizace OI</t>
  </si>
  <si>
    <t>Hřiště Průmyslovák - realizace</t>
  </si>
  <si>
    <t>přesun z roku 2023</t>
  </si>
  <si>
    <t>Školní jídelna Žižkov - PD</t>
  </si>
  <si>
    <t>Školní jídelna Žižkov - realizace</t>
  </si>
  <si>
    <t xml:space="preserve">celková rekonstrukce </t>
  </si>
  <si>
    <t>ZŠ Žižkov - výměna oken a fasáda</t>
  </si>
  <si>
    <t>ZŠ Kamenná stezka WC - realizace</t>
  </si>
  <si>
    <t>výměna oken</t>
  </si>
  <si>
    <t>Stadion Olympia -  technické zhodnocení</t>
  </si>
  <si>
    <t>2 auta poslední výměna starých aut</t>
  </si>
  <si>
    <t>Šultysova 154-příprava na možný přesun úřadu</t>
  </si>
  <si>
    <t>Příjmy bez dotací:</t>
  </si>
  <si>
    <t>dotace</t>
  </si>
  <si>
    <t>SPLÁCÍ PŮJČKU na tenisovou halu zbývá zaplatit 1.043.102 Kč</t>
  </si>
  <si>
    <t>Bude se řeišt během roku dle živostinosti kotle</t>
  </si>
  <si>
    <t xml:space="preserve">ZASTÍM VE VÝŠI PŘÍJMŮ JE TŘEBA DOŘEŠIT </t>
  </si>
  <si>
    <t xml:space="preserve">Navýšeno o 500 tis. z důvodu podpory i neregistrované mládeže </t>
  </si>
  <si>
    <t>ZS služby začínal na začátku roku s částkou 3 077 000,- a s ohledem na inflaci a nové smlouvy na servisní služby související se vzduchotechnikou a časomírou narostly náklady o 550 000 Kč, v tuto chvíli je částka 3 627 000,- Kč….částka na příští rok počítá s inflací a smlouvami, které obsahují inflační doložku. Tudíž nárůst není o 900 000Kč, ale pouze 10% tudíž cca 360 tisíc</t>
  </si>
  <si>
    <t>Rekonstrukce nových prostor pro přesun úřadu</t>
  </si>
  <si>
    <t>RADAR - nákup informativních radarů</t>
  </si>
  <si>
    <t>HZ Malín (akci již žádal OI - výdaje v roce 2023)</t>
  </si>
  <si>
    <t>Rekonstrukce Zelenkovy vily - pro Peč.sl.</t>
  </si>
  <si>
    <t xml:space="preserve">ZŠ Kamenná stezka odvlhčení </t>
  </si>
  <si>
    <t>Nemocnice Kutná Hora - inv.dotace</t>
  </si>
  <si>
    <t>Soc. služby - kap.výdaje  TAXÍK-MAXÍK</t>
  </si>
  <si>
    <t>Bydlení, kom. rozvoj (včetně TS) - kap.výdaje</t>
  </si>
  <si>
    <t>Městská knihovna - Regionální funkce knihoven</t>
  </si>
  <si>
    <t>zz - ostatní nezařazené položky, poskytnuté příspěvky</t>
  </si>
  <si>
    <t>Školství - rezerva (posudky, mimořádné příspěvky)</t>
  </si>
  <si>
    <t>Česká inspirace - čl. příspěvek</t>
  </si>
  <si>
    <t>České dědictví UNESCO - čl. příspěvek</t>
  </si>
  <si>
    <t>Nadace KH památka. UNESCO - čl.  Příspěvek</t>
  </si>
  <si>
    <t>OWHC Canada - čl. příspěvek</t>
  </si>
  <si>
    <t xml:space="preserve">TO Kutnohorsko a Kolínsko z. s. - čl. příspěvek </t>
  </si>
  <si>
    <t>Hala BIOS - platy</t>
  </si>
  <si>
    <t>Hala BIOS - SP</t>
  </si>
  <si>
    <t>Hala BIOS - ZP</t>
  </si>
  <si>
    <t>Hala BIOS - DrDHM</t>
  </si>
  <si>
    <t>Hřiště J. Palacha - opravy</t>
  </si>
  <si>
    <t>Hřiště J. Palacha - služby</t>
  </si>
  <si>
    <t>Sokolovna Malín - služby, revize</t>
  </si>
  <si>
    <t>Otevřená města - čl. příspěvek</t>
  </si>
  <si>
    <t>Chodníky, parkoviště, odstavné plochy - neinvestiční výdaje</t>
  </si>
  <si>
    <t>Fond regenerace - Právnicé osoby příspěvky</t>
  </si>
  <si>
    <t>Cihlářská 17 - el. energie</t>
  </si>
  <si>
    <t>Dačického dům - el. energie</t>
  </si>
  <si>
    <t>IC - HN - el. energie</t>
  </si>
  <si>
    <t>Kostel SJN - el. energie</t>
  </si>
  <si>
    <t>Nebytové prostory - el. energie.</t>
  </si>
  <si>
    <t>Nebytové prostory - zprac. dat, teplo</t>
  </si>
  <si>
    <t>Olympia - el. energie</t>
  </si>
  <si>
    <t>Palackého nám. - el. energie</t>
  </si>
  <si>
    <t>Psí útulek - el. energie</t>
  </si>
  <si>
    <t>Radnická 178 - el. energie</t>
  </si>
  <si>
    <t>Sokolovna Malín - el. energie</t>
  </si>
  <si>
    <t>Spolkový dům - el. energie</t>
  </si>
  <si>
    <t>Energetické štítky</t>
  </si>
  <si>
    <t>Odpad: bio odpadky - uložení</t>
  </si>
  <si>
    <t>Odpad: svoz bio popelnice MVE Plus</t>
  </si>
  <si>
    <t>TS - veř.osvětlení el. energie</t>
  </si>
  <si>
    <t>TS - výdej popelnic občanům (Mimo smlouvu)</t>
  </si>
  <si>
    <t>Účastnický poplatek, vstupné</t>
  </si>
  <si>
    <t>SH BIOS</t>
  </si>
  <si>
    <t>Informační centrum - hl. nádraží</t>
  </si>
  <si>
    <t>Hala BIOS</t>
  </si>
  <si>
    <t>nebytové prostory - příjmy z vyúčtování energií</t>
  </si>
  <si>
    <t>Spol. prostory - pojistné plnění</t>
  </si>
  <si>
    <t>Rozloženo na více let a podmíněno dotací ve výši 25M</t>
  </si>
  <si>
    <t>výměna parkovacích automatů</t>
  </si>
  <si>
    <t>SKP Ollympia</t>
  </si>
  <si>
    <t>údržba a rozvoj sportovního areálu</t>
  </si>
  <si>
    <t>Velké projekty CC 150T, Festival sportu 100T, I škola 70T</t>
  </si>
  <si>
    <t>IC -  el. energie</t>
  </si>
  <si>
    <t>IC - plyn</t>
  </si>
  <si>
    <t>IC - voda</t>
  </si>
  <si>
    <t>od 1.1.2024 navýšeno 50 Kč</t>
  </si>
  <si>
    <t>od 1.1.2024 navýšeno na 1000 Kč</t>
  </si>
  <si>
    <t>Spoluúčast k dotaci - oslavy UNESCO</t>
  </si>
  <si>
    <t>Vlašský dvůr - servis varhan</t>
  </si>
  <si>
    <t>OI požaduje rezervu na neinvestiční výdaje ve výši 1 mil. Kč</t>
  </si>
  <si>
    <r>
      <t xml:space="preserve">Smlouvy - údržba MP Manažer, upgrade MKDS systému Genetec Security, certifikáty zaměstnanců, čárový kód v MP manageru, </t>
    </r>
    <r>
      <rPr>
        <sz val="11"/>
        <color rgb="FFFF0000"/>
        <rFont val="Calibri"/>
        <family val="2"/>
        <charset val="238"/>
        <scheme val="minor"/>
      </rPr>
      <t>profylaxe (revize) kamerového systému, celkem 47 kamer – 26 MKDS, 17 Vlašský dvůr a sady a 4 knihovna + vyčištění stanic na MP</t>
    </r>
  </si>
  <si>
    <r>
      <t>Vybavení nábytkem, židle, křesla, , PC, tiskárny, videokamery, mobilní telefony, tablety,</t>
    </r>
    <r>
      <rPr>
        <sz val="11"/>
        <color rgb="FFFF0000"/>
        <rFont val="Calibri"/>
        <family val="2"/>
        <charset val="238"/>
        <scheme val="minor"/>
      </rPr>
      <t xml:space="preserve"> monitory</t>
    </r>
    <r>
      <rPr>
        <sz val="11"/>
        <rFont val="Calibri"/>
        <family val="2"/>
        <charset val="238"/>
        <scheme val="minor"/>
      </rPr>
      <t>, klimatizace, lednice, ozonový generátor, nabíječ baterií, radiobaterie, elek. baterie jízdní kolo, radiostanice, výbava psovodů, apod.</t>
    </r>
  </si>
  <si>
    <t>přebytkový</t>
  </si>
  <si>
    <t>schodkový 21M</t>
  </si>
  <si>
    <t>Zapojení zůstatku z běžných účtů 8115 (+)</t>
  </si>
  <si>
    <t>Odvod do fondu z  5 100 000,- Kč</t>
  </si>
  <si>
    <t>Odvod do fondu  960 000 ,- Kč</t>
  </si>
  <si>
    <t>Odvod do fondu 600 000,- Kč</t>
  </si>
  <si>
    <t>Odvod do fondu 42 255,- Kč</t>
  </si>
  <si>
    <t>Odvod do fondu  117 875,- Kč</t>
  </si>
  <si>
    <t>Odvod do fondu  2 041 330,- Kč</t>
  </si>
  <si>
    <r>
      <t xml:space="preserve">Byty - nájem </t>
    </r>
    <r>
      <rPr>
        <b/>
        <i/>
        <sz val="11"/>
        <color theme="1"/>
        <rFont val="Calibri"/>
        <family val="2"/>
        <charset val="238"/>
        <scheme val="minor"/>
      </rPr>
      <t>příjem do FONM</t>
    </r>
  </si>
  <si>
    <t>Byty nepriv. - nájem příjem do FONM</t>
  </si>
  <si>
    <t>Ubytovna Trebišovská - ubytování příjem do FONM</t>
  </si>
  <si>
    <t>KD Lorec - nájem příjem do FONM</t>
  </si>
  <si>
    <t>Lorec ubytovna - nájem příjem do FONM</t>
  </si>
  <si>
    <t>Nebytové prostory - nájem příjem do FONM</t>
  </si>
  <si>
    <t>Odbor životního prostředí - Mgr. Kristýna Kosová</t>
  </si>
  <si>
    <t>Tel: 327 710 271</t>
  </si>
  <si>
    <t>Zvýšení příspěvku odsouhlaseno na valné hromadě DSO,  mat. do ZM 24.10.2023 neodsouhlaseno navýšeni o 50 tis. Kč</t>
  </si>
  <si>
    <t>Životní prostředí - investice (separace odpadů)</t>
  </si>
  <si>
    <t>(K.Hladíková)-smlouva 1x mobilní svoz NO</t>
  </si>
  <si>
    <t>(K.Hladíková)</t>
  </si>
  <si>
    <t>(K.Hladíková)-2 mobilní svozy OO</t>
  </si>
  <si>
    <t>(K.Hladíková)-navýšení počtu biopop (snížení mob.svozu)</t>
  </si>
  <si>
    <t>(K.Hladíková)-navýšení svoz papíru 2x týdně ?? Podle Econit?</t>
  </si>
  <si>
    <t>(K.Hladíková)-sníženo protože přechází do tříděného</t>
  </si>
  <si>
    <t>(K.Hladíková) - 50tis.rezerva oproti 2023</t>
  </si>
  <si>
    <t>(K.Hladíková)-smlouva (navýšení 2023)</t>
  </si>
  <si>
    <t>(K.Hladíková) - sníž.o 50 + rezerva cca 100</t>
  </si>
  <si>
    <t>(K.Hladíková)-provádíme na Kanku opatření An.rizik</t>
  </si>
  <si>
    <t>(K.Hladíková)-nikdo nežádal</t>
  </si>
  <si>
    <t>(K.Hladíková)-snížení EKO KOM</t>
  </si>
  <si>
    <t>(K.Hladíková)-smlouva 1 742 400 - pokrytí celé smlouvy, nesnižujeme o psy jiných obcí, bývají čipovaní</t>
  </si>
  <si>
    <t>(K.Hladíková)-chtěla bych na víka a ke kontejnerům, kolečka</t>
  </si>
  <si>
    <t>(K.Hladíková) - navýšení třídění - dřevo, kovy, plasty(už účtují i dopravu)</t>
  </si>
  <si>
    <t>Σ 68 751 496,00</t>
  </si>
  <si>
    <t>Σ 1 000 000,00</t>
  </si>
  <si>
    <t>předběžný odhad nákladů 29,153 mil. Kč (zbytek u OI)  OPŘ - předloží projek na zázemí a vyšíslí budou provozní náklady</t>
  </si>
  <si>
    <t>OPŘ může předložit rozbor nákladů za rok 2022 Podpořeno 70% z požadavku</t>
  </si>
  <si>
    <t>OPŘ může předložit rozbor nákladů za rok 2022Podpořeno 32% z požadavku (70% by činilo 172.900 Kč dotace)</t>
  </si>
  <si>
    <t>OPŘ může předložit rozbor nákladů za rok 2022</t>
  </si>
  <si>
    <r>
      <t xml:space="preserve">Požadován celkový příšpěvek na provoz 4 896 000,- ; </t>
    </r>
    <r>
      <rPr>
        <sz val="11"/>
        <color rgb="FFFF0000"/>
        <rFont val="Calibri"/>
        <family val="2"/>
        <charset val="238"/>
        <scheme val="minor"/>
      </rPr>
      <t>navýšeno o opravu kanalizace 605 tis. Kč</t>
    </r>
  </si>
  <si>
    <t>Olympie - atletický tunel - projektová dokumentace</t>
  </si>
  <si>
    <r>
      <t xml:space="preserve">Požadován celkový příšpěvek na provoz 4 200 000,-, </t>
    </r>
    <r>
      <rPr>
        <sz val="11"/>
        <color rgb="FFFF0000"/>
        <rFont val="Calibri"/>
        <family val="2"/>
        <charset val="238"/>
        <scheme val="minor"/>
      </rPr>
      <t>navýšeno na opravu tělocvičen 850 tis. Kč</t>
    </r>
  </si>
  <si>
    <t xml:space="preserve">Nadační fond Eduzměna - Tým duševního zdraví </t>
  </si>
  <si>
    <t>nepokryto: výmalba společných prostor 300 tis. Kč;  úprava dvoru 200 tis.Kč</t>
  </si>
  <si>
    <t>(Konvektomat - 894 tis. Kč; multifunkční pánev -2 X 996 tis. Kč; mycí stroj - 222 tis. Kč)</t>
  </si>
  <si>
    <r>
      <t>Požadován celkový příšpěvek na provoz 5 301 420,- n</t>
    </r>
    <r>
      <rPr>
        <sz val="11"/>
        <color rgb="FFFF0000"/>
        <rFont val="Calibri"/>
        <family val="2"/>
        <charset val="238"/>
        <scheme val="minor"/>
      </rPr>
      <t>avýšen příspěvek na nákup podnosů - 150 tis. Kč</t>
    </r>
  </si>
  <si>
    <t>Vlašský dvůr - kanalizace</t>
  </si>
  <si>
    <r>
      <t xml:space="preserve">VŘ na PD fasáda, okna, vitráže, kam.prvky 
Hrádek - předpoklad započetí stavebních prací
r.2025. </t>
    </r>
    <r>
      <rPr>
        <sz val="11"/>
        <color rgb="FFFF0000"/>
        <rFont val="Calibri"/>
        <family val="2"/>
        <charset val="238"/>
        <scheme val="minor"/>
      </rPr>
      <t>Kostel sv.Jana Nepomuckého  - závazek restaurování soch (600 tis. Kč)</t>
    </r>
  </si>
  <si>
    <t>schodkový 111M</t>
  </si>
  <si>
    <t>Pronájem zábran TS</t>
  </si>
  <si>
    <t>dokumentace vč.SP bude od OSM</t>
  </si>
  <si>
    <t>nemáme PD</t>
  </si>
  <si>
    <r>
      <t xml:space="preserve">přesun z roku 2023 + </t>
    </r>
    <r>
      <rPr>
        <sz val="11"/>
        <color rgb="FFFF0000"/>
        <rFont val="Calibri"/>
        <family val="2"/>
        <charset val="238"/>
        <scheme val="minor"/>
      </rPr>
      <t>podmíněno dotací (žádost leden 2024) - bude realizovat OI</t>
    </r>
  </si>
  <si>
    <r>
      <t xml:space="preserve">Roháčova (8M), </t>
    </r>
    <r>
      <rPr>
        <sz val="11"/>
        <color theme="9" tint="-0.249977111117893"/>
        <rFont val="Calibri"/>
        <family val="2"/>
        <charset val="238"/>
        <scheme val="minor"/>
      </rPr>
      <t>SP do 7/24</t>
    </r>
    <r>
      <rPr>
        <sz val="11"/>
        <color theme="1"/>
        <rFont val="Calibri"/>
        <family val="2"/>
        <charset val="238"/>
        <scheme val="minor"/>
      </rPr>
      <t>,Sedlecká, Mezibranská (7,7M)</t>
    </r>
    <r>
      <rPr>
        <sz val="11"/>
        <color theme="9" tint="-0.249977111117893"/>
        <rFont val="Calibri"/>
        <family val="2"/>
        <charset val="238"/>
        <scheme val="minor"/>
      </rPr>
      <t xml:space="preserve"> DPS je,</t>
    </r>
    <r>
      <rPr>
        <sz val="11"/>
        <color theme="1"/>
        <rFont val="Calibri"/>
        <family val="2"/>
        <charset val="238"/>
        <scheme val="minor"/>
      </rPr>
      <t xml:space="preserve"> Tyršova (8,9M),</t>
    </r>
    <r>
      <rPr>
        <sz val="11"/>
        <color theme="9" tint="-0.249977111117893"/>
        <rFont val="Calibri"/>
        <family val="2"/>
        <charset val="238"/>
        <scheme val="minor"/>
      </rPr>
      <t>SP do 7/25</t>
    </r>
    <r>
      <rPr>
        <sz val="11"/>
        <color theme="1"/>
        <rFont val="Calibri"/>
        <family val="2"/>
        <charset val="238"/>
        <scheme val="minor"/>
      </rPr>
      <t xml:space="preserve"> , V Mišpulkách (1M), </t>
    </r>
    <r>
      <rPr>
        <b/>
        <sz val="11"/>
        <color theme="9"/>
        <rFont val="Calibri"/>
        <family val="2"/>
        <charset val="238"/>
        <scheme val="minor"/>
      </rPr>
      <t>SoD s TS KH</t>
    </r>
    <r>
      <rPr>
        <sz val="11"/>
        <color theme="1"/>
        <rFont val="Calibri"/>
        <family val="2"/>
        <charset val="238"/>
        <scheme val="minor"/>
      </rPr>
      <t>,  U Nadjezdu</t>
    </r>
    <r>
      <rPr>
        <sz val="11"/>
        <color theme="9" tint="-0.249977111117893"/>
        <rFont val="Calibri"/>
        <family val="2"/>
        <charset val="238"/>
        <scheme val="minor"/>
      </rPr>
      <t>(12M</t>
    </r>
    <r>
      <rPr>
        <sz val="11"/>
        <color theme="1"/>
        <rFont val="Calibri"/>
        <family val="2"/>
        <charset val="238"/>
        <scheme val="minor"/>
      </rPr>
      <t>),</t>
    </r>
    <r>
      <rPr>
        <sz val="11"/>
        <color theme="9" tint="-0.249977111117893"/>
        <rFont val="Calibri"/>
        <family val="2"/>
        <charset val="238"/>
        <scheme val="minor"/>
      </rPr>
      <t>SP do 5/25</t>
    </r>
    <r>
      <rPr>
        <sz val="11"/>
        <color theme="1"/>
        <rFont val="Calibri"/>
        <family val="2"/>
        <charset val="238"/>
        <scheme val="minor"/>
      </rPr>
      <t xml:space="preserve">, Pod Kaňkem </t>
    </r>
    <r>
      <rPr>
        <sz val="11"/>
        <color theme="9" tint="-0.249977111117893"/>
        <rFont val="Calibri"/>
        <family val="2"/>
        <charset val="238"/>
        <scheme val="minor"/>
      </rPr>
      <t>(4M), SP do 5/25</t>
    </r>
    <r>
      <rPr>
        <sz val="11"/>
        <color theme="1"/>
        <rFont val="Calibri"/>
        <family val="2"/>
        <charset val="238"/>
        <scheme val="minor"/>
      </rPr>
      <t xml:space="preserve">, Malín </t>
    </r>
    <r>
      <rPr>
        <sz val="11"/>
        <color theme="9" tint="-0.249977111117893"/>
        <rFont val="Calibri"/>
        <family val="2"/>
        <charset val="238"/>
        <scheme val="minor"/>
      </rPr>
      <t>I,II(2,3M DPS)</t>
    </r>
    <r>
      <rPr>
        <sz val="11"/>
        <color theme="1"/>
        <rFont val="Calibri"/>
        <family val="2"/>
        <charset val="238"/>
        <scheme val="minor"/>
      </rPr>
      <t xml:space="preserve">, Ke Gruntě, Vařinecká (10M </t>
    </r>
    <r>
      <rPr>
        <sz val="11"/>
        <color theme="9" tint="-0.249977111117893"/>
        <rFont val="Calibri"/>
        <family val="2"/>
        <charset val="238"/>
        <scheme val="minor"/>
      </rPr>
      <t>ze 30celkem</t>
    </r>
    <r>
      <rPr>
        <sz val="11"/>
        <color theme="1"/>
        <rFont val="Calibri"/>
        <family val="2"/>
        <charset val="238"/>
        <scheme val="minor"/>
      </rPr>
      <t xml:space="preserve">), </t>
    </r>
    <r>
      <rPr>
        <sz val="11"/>
        <color theme="9" tint="-0.249977111117893"/>
        <rFont val="Calibri"/>
        <family val="2"/>
        <charset val="238"/>
        <scheme val="minor"/>
      </rPr>
      <t xml:space="preserve">SP do 11/25, </t>
    </r>
    <r>
      <rPr>
        <b/>
        <sz val="11"/>
        <color theme="9" tint="-0.249977111117893"/>
        <rFont val="Calibri"/>
        <family val="2"/>
        <charset val="238"/>
        <scheme val="minor"/>
      </rPr>
      <t>přidáno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K Lánům (6M), </t>
    </r>
    <r>
      <rPr>
        <sz val="11"/>
        <color theme="9" tint="-0.249977111117893"/>
        <rFont val="Calibri"/>
        <family val="2"/>
        <charset val="238"/>
        <scheme val="minor"/>
      </rPr>
      <t>stará DSP</t>
    </r>
    <r>
      <rPr>
        <b/>
        <sz val="11"/>
        <color theme="1"/>
        <rFont val="Calibri"/>
        <family val="2"/>
        <charset val="238"/>
        <scheme val="minor"/>
      </rPr>
      <t>, Na Terase (3M),</t>
    </r>
    <r>
      <rPr>
        <b/>
        <sz val="11"/>
        <color theme="9" tint="-0.249977111117893"/>
        <rFont val="Calibri"/>
        <family val="2"/>
        <charset val="238"/>
        <scheme val="minor"/>
      </rPr>
      <t xml:space="preserve"> </t>
    </r>
    <r>
      <rPr>
        <sz val="11"/>
        <color theme="9" tint="-0.249977111117893"/>
        <rFont val="Calibri"/>
        <family val="2"/>
        <charset val="238"/>
        <scheme val="minor"/>
      </rPr>
      <t>stará DSP</t>
    </r>
    <r>
      <rPr>
        <b/>
        <sz val="11"/>
        <color theme="1"/>
        <rFont val="Calibri"/>
        <family val="2"/>
        <charset val="238"/>
        <scheme val="minor"/>
      </rPr>
      <t>, chodník Ke Gruntě (5M),</t>
    </r>
    <r>
      <rPr>
        <sz val="11"/>
        <color theme="9" tint="-0.249977111117893"/>
        <rFont val="Calibri"/>
        <family val="2"/>
        <charset val="238"/>
        <scheme val="minor"/>
      </rPr>
      <t>stará DSP</t>
    </r>
    <r>
      <rPr>
        <sz val="11"/>
        <color theme="1"/>
        <rFont val="Calibri"/>
        <family val="2"/>
        <charset val="238"/>
        <scheme val="minor"/>
      </rPr>
      <t>,</t>
    </r>
    <r>
      <rPr>
        <sz val="11"/>
        <color theme="9"/>
        <rFont val="Calibri"/>
        <family val="2"/>
        <charset val="238"/>
        <scheme val="minor"/>
      </rPr>
      <t xml:space="preserve"> SP do 12/26</t>
    </r>
  </si>
  <si>
    <r>
      <rPr>
        <sz val="11"/>
        <color theme="9"/>
        <rFont val="Calibri"/>
        <family val="2"/>
        <charset val="238"/>
        <scheme val="minor"/>
      </rPr>
      <t xml:space="preserve">přidáno: </t>
    </r>
    <r>
      <rPr>
        <sz val="11"/>
        <color theme="1"/>
        <rFont val="Calibri"/>
        <family val="2"/>
        <charset val="238"/>
        <scheme val="minor"/>
      </rPr>
      <t>Příprava na přesun státního zastupitelstva a úřadu práce (Turistická ubytovna, Zemědělská správa)</t>
    </r>
  </si>
  <si>
    <t>SoD s TS KH</t>
  </si>
  <si>
    <t>Hřbitov Všech Svatých - dolní zeď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</si>
</sst>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0.00_ ;[Red]\-0.00\ 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0"/>
      <color indexed="62"/>
      <name val="Arial"/>
      <family val="2"/>
      <charset val="238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mbria"/>
      <family val="2"/>
      <charset val="238"/>
      <scheme val="major"/>
    </font>
    <font>
      <sz val="10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9.5"/>
      <color rgb="FF000000"/>
      <name val="Courier New"/>
      <family val="3"/>
      <charset val="238"/>
    </font>
    <font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i/>
      <sz val="11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</borders>
  <cellStyleXfs count="25">
    <xf numFmtId="0" fontId="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top"/>
    </xf>
    <xf numFmtId="0" fontId="15" fillId="0" borderId="0"/>
    <xf numFmtId="0" fontId="15" fillId="0" borderId="0"/>
    <xf numFmtId="0" fontId="24" fillId="0" borderId="0"/>
    <xf numFmtId="0" fontId="15" fillId="0" borderId="0">
      <alignment vertical="top"/>
    </xf>
    <xf numFmtId="0" fontId="26" fillId="0" borderId="0">
      <alignment vertical="top"/>
    </xf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70">
    <xf numFmtId="0" fontId="0" fillId="0" borderId="0" xfId="0"/>
    <xf numFmtId="0" fontId="0" fillId="0" borderId="0" xfId="0" applyFont="1"/>
    <xf numFmtId="4" fontId="0" fillId="0" borderId="0" xfId="0" applyNumberFormat="1"/>
    <xf numFmtId="0" fontId="3" fillId="0" borderId="0" xfId="0" applyFont="1"/>
    <xf numFmtId="49" fontId="3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4" fontId="0" fillId="0" borderId="2" xfId="0" applyNumberFormat="1" applyFill="1" applyBorder="1" applyAlignment="1">
      <alignment vertical="center" wrapText="1"/>
    </xf>
    <xf numFmtId="0" fontId="0" fillId="0" borderId="2" xfId="0" applyNumberFormat="1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0" fillId="0" borderId="2" xfId="0" applyBorder="1"/>
    <xf numFmtId="0" fontId="0" fillId="0" borderId="0" xfId="0" applyFill="1"/>
    <xf numFmtId="0" fontId="3" fillId="0" borderId="3" xfId="0" applyNumberFormat="1" applyFont="1" applyFill="1" applyBorder="1" applyAlignment="1">
      <alignment vertical="center"/>
    </xf>
    <xf numFmtId="0" fontId="3" fillId="4" borderId="3" xfId="0" applyNumberFormat="1" applyFont="1" applyFill="1" applyBorder="1" applyAlignment="1">
      <alignment vertical="center"/>
    </xf>
    <xf numFmtId="0" fontId="3" fillId="4" borderId="4" xfId="0" applyNumberFormat="1" applyFont="1" applyFill="1" applyBorder="1" applyAlignment="1">
      <alignment vertical="center"/>
    </xf>
    <xf numFmtId="0" fontId="8" fillId="4" borderId="4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 wrapText="1"/>
    </xf>
    <xf numFmtId="4" fontId="0" fillId="0" borderId="2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3" fillId="4" borderId="0" xfId="0" applyNumberFormat="1" applyFont="1" applyFill="1" applyAlignment="1">
      <alignment vertical="center" wrapText="1"/>
    </xf>
    <xf numFmtId="4" fontId="3" fillId="4" borderId="0" xfId="0" applyNumberFormat="1" applyFont="1" applyFill="1" applyAlignment="1">
      <alignment vertical="center" wrapText="1"/>
    </xf>
    <xf numFmtId="0" fontId="0" fillId="4" borderId="0" xfId="0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164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7" fillId="0" borderId="2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4" borderId="2" xfId="0" applyNumberFormat="1" applyFont="1" applyFill="1" applyBorder="1" applyAlignment="1">
      <alignment vertical="center"/>
    </xf>
    <xf numFmtId="4" fontId="7" fillId="4" borderId="2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164" fontId="0" fillId="0" borderId="2" xfId="0" applyNumberFormat="1" applyFill="1" applyBorder="1" applyAlignment="1">
      <alignment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64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4" fontId="3" fillId="3" borderId="0" xfId="0" applyNumberFormat="1" applyFont="1" applyFill="1" applyAlignment="1">
      <alignment vertical="center" wrapText="1"/>
    </xf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 wrapText="1"/>
    </xf>
    <xf numFmtId="49" fontId="18" fillId="0" borderId="0" xfId="0" applyNumberFormat="1" applyFont="1"/>
    <xf numFmtId="49" fontId="0" fillId="0" borderId="0" xfId="0" applyNumberFormat="1" applyFont="1" applyAlignment="1">
      <alignment horizontal="center"/>
    </xf>
    <xf numFmtId="49" fontId="0" fillId="0" borderId="0" xfId="0" applyNumberFormat="1" applyFont="1"/>
    <xf numFmtId="49" fontId="0" fillId="8" borderId="0" xfId="0" applyNumberFormat="1" applyFont="1" applyFill="1" applyBorder="1"/>
    <xf numFmtId="49" fontId="6" fillId="8" borderId="0" xfId="0" applyNumberFormat="1" applyFont="1" applyFill="1" applyBorder="1" applyAlignment="1">
      <alignment horizontal="center" vertical="center" wrapText="1"/>
    </xf>
    <xf numFmtId="49" fontId="19" fillId="8" borderId="0" xfId="0" applyNumberFormat="1" applyFont="1" applyFill="1" applyBorder="1" applyAlignment="1">
      <alignment horizontal="center"/>
    </xf>
    <xf numFmtId="0" fontId="19" fillId="8" borderId="0" xfId="0" applyNumberFormat="1" applyFont="1" applyFill="1" applyBorder="1" applyAlignment="1">
      <alignment horizontal="center" vertical="center" wrapText="1"/>
    </xf>
    <xf numFmtId="49" fontId="19" fillId="8" borderId="0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NumberFormat="1" applyFont="1" applyAlignment="1">
      <alignment vertical="center" wrapText="1"/>
    </xf>
    <xf numFmtId="0" fontId="22" fillId="0" borderId="0" xfId="0" applyFont="1"/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19" fillId="9" borderId="7" xfId="0" applyFont="1" applyFill="1" applyBorder="1" applyAlignment="1">
      <alignment vertical="center"/>
    </xf>
    <xf numFmtId="4" fontId="19" fillId="9" borderId="8" xfId="0" applyNumberFormat="1" applyFont="1" applyFill="1" applyBorder="1" applyAlignment="1">
      <alignment vertical="center"/>
    </xf>
    <xf numFmtId="0" fontId="6" fillId="9" borderId="8" xfId="0" applyFont="1" applyFill="1" applyBorder="1" applyAlignment="1">
      <alignment horizontal="center" vertical="center"/>
    </xf>
    <xf numFmtId="0" fontId="0" fillId="9" borderId="9" xfId="0" applyFont="1" applyFill="1" applyBorder="1" applyAlignment="1">
      <alignment vertical="center"/>
    </xf>
    <xf numFmtId="4" fontId="0" fillId="0" borderId="0" xfId="0" applyNumberFormat="1" applyFont="1"/>
    <xf numFmtId="0" fontId="0" fillId="0" borderId="0" xfId="0" applyFont="1" applyAlignment="1">
      <alignment horizontal="center"/>
    </xf>
    <xf numFmtId="0" fontId="6" fillId="9" borderId="0" xfId="0" applyFont="1" applyFill="1" applyAlignment="1">
      <alignment vertical="center"/>
    </xf>
    <xf numFmtId="4" fontId="6" fillId="9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Font="1" applyAlignment="1">
      <alignment horizontal="right" vertical="center"/>
    </xf>
    <xf numFmtId="0" fontId="15" fillId="0" borderId="2" xfId="8" applyFont="1" applyBorder="1" applyAlignment="1">
      <alignment horizontal="center" vertical="top"/>
    </xf>
    <xf numFmtId="0" fontId="15" fillId="0" borderId="0" xfId="8">
      <alignment vertical="top"/>
    </xf>
    <xf numFmtId="0" fontId="15" fillId="0" borderId="2" xfId="8" applyNumberFormat="1" applyFont="1" applyBorder="1" applyAlignment="1">
      <alignment vertical="top"/>
    </xf>
    <xf numFmtId="0" fontId="15" fillId="0" borderId="2" xfId="8" applyFont="1" applyBorder="1" applyAlignment="1">
      <alignment vertical="top"/>
    </xf>
    <xf numFmtId="0" fontId="0" fillId="0" borderId="2" xfId="8" applyFont="1" applyBorder="1" applyAlignment="1">
      <alignment vertical="top"/>
    </xf>
    <xf numFmtId="49" fontId="25" fillId="0" borderId="0" xfId="8" applyNumberFormat="1" applyFont="1" applyAlignment="1">
      <alignment horizontal="left" vertical="center" wrapText="1"/>
    </xf>
    <xf numFmtId="0" fontId="25" fillId="0" borderId="0" xfId="8" applyFont="1" applyAlignment="1">
      <alignment horizontal="left" vertical="center" wrapText="1"/>
    </xf>
    <xf numFmtId="0" fontId="25" fillId="0" borderId="0" xfId="8" applyFont="1">
      <alignment vertical="top"/>
    </xf>
    <xf numFmtId="0" fontId="15" fillId="0" borderId="0" xfId="1" applyFont="1" applyBorder="1" applyAlignment="1">
      <alignment horizontal="left" vertical="center" wrapText="1"/>
    </xf>
    <xf numFmtId="0" fontId="26" fillId="0" borderId="11" xfId="1" applyFont="1" applyBorder="1" applyAlignment="1">
      <alignment horizontal="left" vertical="center" wrapText="1"/>
    </xf>
    <xf numFmtId="0" fontId="15" fillId="6" borderId="2" xfId="9" applyFont="1" applyFill="1" applyBorder="1" applyAlignment="1">
      <alignment horizontal="left" vertical="center"/>
    </xf>
    <xf numFmtId="0" fontId="15" fillId="6" borderId="2" xfId="9" applyFont="1" applyFill="1" applyBorder="1" applyAlignment="1">
      <alignment horizontal="left" vertical="center" wrapText="1"/>
    </xf>
    <xf numFmtId="0" fontId="15" fillId="0" borderId="0" xfId="9"/>
    <xf numFmtId="0" fontId="15" fillId="0" borderId="2" xfId="9" applyNumberFormat="1" applyFont="1" applyBorder="1" applyAlignment="1">
      <alignment horizontal="left" vertical="center" wrapText="1"/>
    </xf>
    <xf numFmtId="0" fontId="15" fillId="0" borderId="2" xfId="9" applyFont="1" applyBorder="1" applyAlignment="1">
      <alignment horizontal="left" vertical="center" wrapText="1"/>
    </xf>
    <xf numFmtId="0" fontId="15" fillId="0" borderId="2" xfId="9" applyBorder="1" applyAlignment="1">
      <alignment horizontal="left"/>
    </xf>
    <xf numFmtId="0" fontId="0" fillId="0" borderId="2" xfId="9" applyFont="1" applyBorder="1" applyAlignment="1">
      <alignment horizontal="left" vertical="center" wrapText="1"/>
    </xf>
    <xf numFmtId="0" fontId="15" fillId="0" borderId="2" xfId="9" applyFont="1" applyFill="1" applyBorder="1" applyAlignment="1">
      <alignment horizontal="left" vertical="center" wrapText="1"/>
    </xf>
    <xf numFmtId="0" fontId="15" fillId="7" borderId="2" xfId="9" applyNumberFormat="1" applyFont="1" applyFill="1" applyBorder="1" applyAlignment="1">
      <alignment horizontal="left" vertical="center" wrapText="1"/>
    </xf>
    <xf numFmtId="0" fontId="15" fillId="7" borderId="2" xfId="9" applyFont="1" applyFill="1" applyBorder="1" applyAlignment="1">
      <alignment horizontal="left" vertical="center" wrapText="1"/>
    </xf>
    <xf numFmtId="0" fontId="0" fillId="0" borderId="0" xfId="9" applyFont="1"/>
    <xf numFmtId="0" fontId="15" fillId="11" borderId="2" xfId="9" applyNumberFormat="1" applyFont="1" applyFill="1" applyBorder="1" applyAlignment="1">
      <alignment horizontal="left" vertical="center" wrapText="1"/>
    </xf>
    <xf numFmtId="0" fontId="15" fillId="11" borderId="2" xfId="9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wrapText="1"/>
    </xf>
    <xf numFmtId="0" fontId="15" fillId="6" borderId="2" xfId="9" applyNumberFormat="1" applyFont="1" applyFill="1" applyBorder="1" applyAlignment="1">
      <alignment horizontal="left" vertical="center" wrapText="1"/>
    </xf>
    <xf numFmtId="0" fontId="15" fillId="0" borderId="2" xfId="9" applyNumberFormat="1" applyFont="1" applyFill="1" applyBorder="1" applyAlignment="1">
      <alignment horizontal="left" vertical="center" wrapText="1"/>
    </xf>
    <xf numFmtId="0" fontId="0" fillId="0" borderId="2" xfId="9" applyFont="1" applyBorder="1" applyAlignment="1">
      <alignment horizontal="left"/>
    </xf>
    <xf numFmtId="0" fontId="15" fillId="0" borderId="2" xfId="9" applyBorder="1" applyAlignment="1">
      <alignment horizontal="left" wrapText="1"/>
    </xf>
    <xf numFmtId="0" fontId="0" fillId="0" borderId="2" xfId="9" applyFont="1" applyBorder="1" applyAlignment="1">
      <alignment horizontal="left" wrapText="1"/>
    </xf>
    <xf numFmtId="0" fontId="20" fillId="0" borderId="2" xfId="0" applyFont="1" applyBorder="1" applyAlignment="1">
      <alignment horizontal="left" vertical="top"/>
    </xf>
    <xf numFmtId="0" fontId="16" fillId="0" borderId="2" xfId="9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5" fillId="0" borderId="0" xfId="9" applyFont="1"/>
    <xf numFmtId="0" fontId="28" fillId="0" borderId="2" xfId="0" applyFont="1" applyBorder="1" applyAlignment="1">
      <alignment horizontal="left"/>
    </xf>
    <xf numFmtId="0" fontId="29" fillId="0" borderId="2" xfId="10" applyFont="1" applyBorder="1" applyAlignment="1">
      <alignment horizontal="left" vertical="center" wrapText="1"/>
    </xf>
    <xf numFmtId="0" fontId="15" fillId="0" borderId="2" xfId="10" applyFont="1" applyBorder="1" applyAlignment="1">
      <alignment horizontal="left" vertical="center" wrapText="1"/>
    </xf>
    <xf numFmtId="0" fontId="0" fillId="0" borderId="2" xfId="1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wrapText="1"/>
    </xf>
    <xf numFmtId="0" fontId="28" fillId="0" borderId="2" xfId="9" applyNumberFormat="1" applyFont="1" applyBorder="1" applyAlignment="1">
      <alignment horizontal="left" vertical="center" wrapText="1"/>
    </xf>
    <xf numFmtId="0" fontId="28" fillId="0" borderId="2" xfId="9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0" fillId="0" borderId="2" xfId="9" applyFont="1" applyBorder="1" applyAlignment="1">
      <alignment horizontal="left" vertical="center" wrapText="1"/>
    </xf>
    <xf numFmtId="0" fontId="15" fillId="0" borderId="0" xfId="9" applyFont="1" applyAlignment="1">
      <alignment horizontal="left" vertical="center"/>
    </xf>
    <xf numFmtId="0" fontId="15" fillId="0" borderId="0" xfId="9" applyFont="1" applyAlignment="1">
      <alignment horizontal="left" vertical="center" wrapText="1"/>
    </xf>
    <xf numFmtId="164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9" fillId="7" borderId="2" xfId="10" applyFont="1" applyFill="1" applyBorder="1" applyAlignment="1">
      <alignment horizontal="left" vertical="center" wrapText="1"/>
    </xf>
    <xf numFmtId="0" fontId="7" fillId="12" borderId="2" xfId="0" applyNumberFormat="1" applyFont="1" applyFill="1" applyBorder="1" applyAlignment="1">
      <alignment vertical="center"/>
    </xf>
    <xf numFmtId="0" fontId="17" fillId="0" borderId="0" xfId="11" applyFont="1" applyAlignment="1">
      <alignment horizontal="left" vertical="center"/>
    </xf>
    <xf numFmtId="0" fontId="24" fillId="0" borderId="0" xfId="11" applyAlignment="1">
      <alignment horizontal="left" vertical="center"/>
    </xf>
    <xf numFmtId="4" fontId="10" fillId="4" borderId="0" xfId="0" applyNumberFormat="1" applyFont="1" applyFill="1" applyAlignment="1">
      <alignment horizontal="center" vertical="center" wrapText="1"/>
    </xf>
    <xf numFmtId="164" fontId="0" fillId="0" borderId="2" xfId="0" applyNumberFormat="1" applyFont="1" applyFill="1" applyBorder="1" applyAlignment="1">
      <alignment vertical="center"/>
    </xf>
    <xf numFmtId="4" fontId="0" fillId="0" borderId="2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center" vertical="center"/>
    </xf>
    <xf numFmtId="49" fontId="6" fillId="8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Alignment="1">
      <alignment horizontal="right" vertical="center"/>
    </xf>
    <xf numFmtId="0" fontId="3" fillId="0" borderId="2" xfId="0" applyNumberFormat="1" applyFont="1" applyFill="1" applyBorder="1" applyAlignment="1">
      <alignment vertical="center"/>
    </xf>
    <xf numFmtId="0" fontId="0" fillId="12" borderId="0" xfId="0" applyFill="1" applyAlignment="1">
      <alignment vertical="center"/>
    </xf>
    <xf numFmtId="0" fontId="0" fillId="12" borderId="0" xfId="0" applyFont="1" applyFill="1" applyAlignment="1">
      <alignment vertical="center"/>
    </xf>
    <xf numFmtId="0" fontId="7" fillId="12" borderId="0" xfId="0" applyFont="1" applyFill="1" applyAlignment="1">
      <alignment vertical="center"/>
    </xf>
    <xf numFmtId="49" fontId="18" fillId="0" borderId="0" xfId="0" applyNumberFormat="1" applyFont="1" applyAlignment="1">
      <alignment horizontal="center"/>
    </xf>
    <xf numFmtId="4" fontId="3" fillId="0" borderId="1" xfId="0" applyNumberFormat="1" applyFont="1" applyFill="1" applyBorder="1" applyAlignment="1">
      <alignment vertical="center" wrapText="1"/>
    </xf>
    <xf numFmtId="0" fontId="15" fillId="0" borderId="2" xfId="8" applyBorder="1">
      <alignment vertical="top"/>
    </xf>
    <xf numFmtId="164" fontId="7" fillId="0" borderId="2" xfId="0" applyNumberFormat="1" applyFont="1" applyFill="1" applyBorder="1" applyAlignment="1">
      <alignment horizontal="right" vertical="center"/>
    </xf>
    <xf numFmtId="0" fontId="0" fillId="15" borderId="0" xfId="0" applyFill="1" applyAlignment="1">
      <alignment vertical="center"/>
    </xf>
    <xf numFmtId="4" fontId="0" fillId="0" borderId="0" xfId="0" applyNumberFormat="1" applyFill="1"/>
    <xf numFmtId="0" fontId="0" fillId="0" borderId="0" xfId="0" applyFill="1" applyBorder="1" applyAlignment="1">
      <alignment vertical="center"/>
    </xf>
    <xf numFmtId="3" fontId="0" fillId="0" borderId="0" xfId="23" applyNumberFormat="1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14" borderId="0" xfId="0" applyFill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0" fillId="5" borderId="2" xfId="0" applyNumberFormat="1" applyFill="1" applyBorder="1" applyAlignment="1">
      <alignment vertical="center"/>
    </xf>
    <xf numFmtId="4" fontId="4" fillId="5" borderId="2" xfId="0" applyNumberFormat="1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NumberFormat="1" applyFont="1" applyFill="1" applyBorder="1" applyAlignment="1">
      <alignment vertical="center"/>
    </xf>
    <xf numFmtId="4" fontId="7" fillId="12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2" borderId="2" xfId="0" applyNumberFormat="1" applyFont="1" applyFill="1" applyBorder="1" applyAlignment="1">
      <alignment horizontal="center" vertical="center"/>
    </xf>
    <xf numFmtId="0" fontId="0" fillId="12" borderId="2" xfId="0" applyNumberFormat="1" applyFill="1" applyBorder="1" applyAlignment="1">
      <alignment vertical="center"/>
    </xf>
    <xf numFmtId="4" fontId="14" fillId="0" borderId="2" xfId="0" applyNumberFormat="1" applyFont="1" applyFill="1" applyBorder="1" applyAlignment="1">
      <alignment horizontal="center" vertical="center" wrapText="1"/>
    </xf>
    <xf numFmtId="0" fontId="6" fillId="13" borderId="0" xfId="0" applyFont="1" applyFill="1" applyAlignment="1">
      <alignment vertical="center"/>
    </xf>
    <xf numFmtId="4" fontId="6" fillId="13" borderId="0" xfId="0" applyNumberFormat="1" applyFont="1" applyFill="1" applyAlignment="1">
      <alignment vertical="center"/>
    </xf>
    <xf numFmtId="0" fontId="33" fillId="0" borderId="2" xfId="0" applyFont="1" applyBorder="1" applyAlignment="1">
      <alignment horizontal="left" vertical="center" wrapText="1"/>
    </xf>
    <xf numFmtId="0" fontId="0" fillId="12" borderId="2" xfId="0" applyNumberFormat="1" applyFill="1" applyBorder="1" applyAlignment="1">
      <alignment horizontal="center" vertical="center"/>
    </xf>
    <xf numFmtId="0" fontId="0" fillId="6" borderId="0" xfId="0" applyNumberFormat="1" applyFill="1" applyAlignment="1">
      <alignment vertical="center" wrapText="1"/>
    </xf>
    <xf numFmtId="4" fontId="0" fillId="6" borderId="0" xfId="0" applyNumberFormat="1" applyFill="1" applyAlignment="1">
      <alignment vertical="center" wrapText="1"/>
    </xf>
    <xf numFmtId="0" fontId="24" fillId="16" borderId="0" xfId="11" applyFill="1" applyAlignment="1">
      <alignment horizontal="left" vertical="center"/>
    </xf>
    <xf numFmtId="0" fontId="17" fillId="16" borderId="2" xfId="11" applyFont="1" applyFill="1" applyBorder="1" applyAlignment="1">
      <alignment horizontal="left" vertical="center"/>
    </xf>
    <xf numFmtId="0" fontId="17" fillId="0" borderId="2" xfId="11" applyFont="1" applyBorder="1" applyAlignment="1">
      <alignment horizontal="left" vertical="center"/>
    </xf>
    <xf numFmtId="0" fontId="32" fillId="0" borderId="2" xfId="22" applyFont="1" applyBorder="1" applyAlignment="1">
      <alignment horizontal="left" vertical="center"/>
    </xf>
    <xf numFmtId="0" fontId="31" fillId="0" borderId="2" xfId="22" applyBorder="1" applyAlignment="1">
      <alignment horizontal="left" vertical="center"/>
    </xf>
    <xf numFmtId="0" fontId="31" fillId="0" borderId="2" xfId="22" applyBorder="1"/>
    <xf numFmtId="0" fontId="31" fillId="0" borderId="2" xfId="22" applyBorder="1" applyAlignment="1">
      <alignment horizontal="left" vertical="center" wrapText="1"/>
    </xf>
    <xf numFmtId="49" fontId="6" fillId="8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/>
    <xf numFmtId="0" fontId="0" fillId="0" borderId="0" xfId="0" applyNumberFormat="1"/>
    <xf numFmtId="4" fontId="0" fillId="17" borderId="0" xfId="0" applyNumberFormat="1" applyFill="1"/>
    <xf numFmtId="4" fontId="3" fillId="0" borderId="0" xfId="0" applyNumberFormat="1" applyFont="1"/>
    <xf numFmtId="0" fontId="3" fillId="10" borderId="4" xfId="0" applyNumberFormat="1" applyFont="1" applyFill="1" applyBorder="1" applyAlignment="1">
      <alignment vertical="center"/>
    </xf>
    <xf numFmtId="0" fontId="8" fillId="10" borderId="4" xfId="0" applyNumberFormat="1" applyFont="1" applyFill="1" applyBorder="1" applyAlignment="1">
      <alignment vertical="center"/>
    </xf>
    <xf numFmtId="0" fontId="3" fillId="10" borderId="4" xfId="0" applyNumberFormat="1" applyFont="1" applyFill="1" applyBorder="1" applyAlignment="1">
      <alignment vertical="center" wrapText="1"/>
    </xf>
    <xf numFmtId="4" fontId="3" fillId="10" borderId="4" xfId="0" applyNumberFormat="1" applyFont="1" applyFill="1" applyBorder="1" applyAlignment="1">
      <alignment vertical="center" wrapText="1"/>
    </xf>
    <xf numFmtId="0" fontId="15" fillId="4" borderId="2" xfId="9" applyNumberFormat="1" applyFont="1" applyFill="1" applyBorder="1" applyAlignment="1">
      <alignment horizontal="left" vertical="center" wrapText="1"/>
    </xf>
    <xf numFmtId="0" fontId="1" fillId="0" borderId="2" xfId="19" applyNumberFormat="1" applyFill="1" applyBorder="1" applyAlignment="1">
      <alignment vertical="center"/>
    </xf>
    <xf numFmtId="0" fontId="15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49" fontId="6" fillId="8" borderId="0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1" fillId="10" borderId="0" xfId="0" applyFont="1" applyFill="1" applyAlignment="1">
      <alignment vertical="center"/>
    </xf>
    <xf numFmtId="4" fontId="4" fillId="10" borderId="0" xfId="7" applyNumberFormat="1" applyFont="1" applyFill="1" applyAlignment="1">
      <alignment vertical="center"/>
    </xf>
    <xf numFmtId="0" fontId="21" fillId="10" borderId="0" xfId="0" applyFont="1" applyFill="1" applyAlignment="1">
      <alignment horizontal="center" vertical="center"/>
    </xf>
    <xf numFmtId="0" fontId="21" fillId="10" borderId="0" xfId="0" applyFont="1" applyFill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0" fontId="3" fillId="0" borderId="3" xfId="0" applyNumberFormat="1" applyFont="1" applyFill="1" applyBorder="1" applyAlignment="1">
      <alignment vertical="center" wrapText="1"/>
    </xf>
    <xf numFmtId="0" fontId="10" fillId="5" borderId="3" xfId="0" applyNumberFormat="1" applyFont="1" applyFill="1" applyBorder="1" applyAlignment="1">
      <alignment vertical="center" wrapText="1"/>
    </xf>
    <xf numFmtId="164" fontId="34" fillId="0" borderId="1" xfId="0" applyNumberFormat="1" applyFont="1" applyBorder="1" applyAlignment="1">
      <alignment vertical="center" wrapText="1"/>
    </xf>
    <xf numFmtId="0" fontId="0" fillId="6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1" fillId="0" borderId="2" xfId="19" applyNumberForma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/>
    </xf>
    <xf numFmtId="0" fontId="0" fillId="0" borderId="2" xfId="19" applyNumberFormat="1" applyFont="1" applyFill="1" applyBorder="1" applyAlignment="1">
      <alignment vertical="center" wrapText="1"/>
    </xf>
    <xf numFmtId="0" fontId="23" fillId="13" borderId="2" xfId="0" applyNumberFormat="1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1" fillId="0" borderId="2" xfId="19" applyNumberForma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0" fillId="0" borderId="2" xfId="19" applyFont="1" applyFill="1" applyBorder="1" applyAlignment="1">
      <alignment vertical="center"/>
    </xf>
    <xf numFmtId="0" fontId="36" fillId="0" borderId="2" xfId="11" applyFont="1" applyBorder="1" applyAlignment="1">
      <alignment horizontal="left" vertical="center"/>
    </xf>
    <xf numFmtId="0" fontId="37" fillId="0" borderId="2" xfId="1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10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5" fillId="18" borderId="0" xfId="0" applyFont="1" applyFill="1" applyAlignment="1">
      <alignment vertical="center"/>
    </xf>
    <xf numFmtId="0" fontId="35" fillId="18" borderId="0" xfId="0" applyFont="1" applyFill="1" applyAlignment="1">
      <alignment horizontal="center" vertical="center"/>
    </xf>
    <xf numFmtId="0" fontId="35" fillId="18" borderId="0" xfId="0" applyFont="1" applyFill="1" applyAlignment="1">
      <alignment vertical="center" wrapText="1"/>
    </xf>
    <xf numFmtId="164" fontId="35" fillId="18" borderId="0" xfId="0" applyNumberFormat="1" applyFont="1" applyFill="1" applyAlignment="1">
      <alignment vertical="center" wrapText="1"/>
    </xf>
    <xf numFmtId="0" fontId="20" fillId="12" borderId="0" xfId="0" applyFont="1" applyFill="1" applyAlignment="1">
      <alignment horizontal="center" vertical="center"/>
    </xf>
    <xf numFmtId="0" fontId="21" fillId="12" borderId="0" xfId="0" applyFont="1" applyFill="1" applyAlignment="1">
      <alignment vertical="center" wrapText="1"/>
    </xf>
    <xf numFmtId="0" fontId="17" fillId="0" borderId="2" xfId="11" applyFont="1" applyBorder="1" applyAlignment="1">
      <alignment horizontal="left" vertical="center" wrapText="1"/>
    </xf>
    <xf numFmtId="4" fontId="0" fillId="4" borderId="2" xfId="0" applyNumberFormat="1" applyFill="1" applyBorder="1" applyAlignment="1">
      <alignment vertical="center"/>
    </xf>
    <xf numFmtId="0" fontId="0" fillId="4" borderId="2" xfId="0" applyNumberFormat="1" applyFill="1" applyBorder="1" applyAlignment="1">
      <alignment vertical="center"/>
    </xf>
    <xf numFmtId="0" fontId="17" fillId="4" borderId="2" xfId="11" applyFont="1" applyFill="1" applyBorder="1" applyAlignment="1">
      <alignment horizontal="left" vertical="center" wrapText="1"/>
    </xf>
    <xf numFmtId="4" fontId="0" fillId="4" borderId="2" xfId="0" applyNumberForma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49" fontId="38" fillId="18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3" fillId="11" borderId="0" xfId="0" applyFont="1" applyFill="1" applyAlignment="1">
      <alignment vertical="center"/>
    </xf>
    <xf numFmtId="0" fontId="3" fillId="11" borderId="0" xfId="0" applyFont="1" applyFill="1" applyAlignment="1">
      <alignment horizontal="center" vertical="center"/>
    </xf>
    <xf numFmtId="4" fontId="3" fillId="11" borderId="0" xfId="0" applyNumberFormat="1" applyFont="1" applyFill="1" applyAlignment="1">
      <alignment vertical="center" wrapText="1"/>
    </xf>
    <xf numFmtId="164" fontId="0" fillId="11" borderId="0" xfId="0" applyNumberFormat="1" applyFill="1" applyAlignment="1">
      <alignment horizontal="right" vertical="center" wrapText="1"/>
    </xf>
    <xf numFmtId="4" fontId="3" fillId="11" borderId="0" xfId="0" applyNumberFormat="1" applyFont="1" applyFill="1" applyAlignment="1">
      <alignment vertical="center"/>
    </xf>
    <xf numFmtId="0" fontId="3" fillId="11" borderId="0" xfId="0" applyFont="1" applyFill="1" applyAlignment="1">
      <alignment vertical="center" wrapText="1"/>
    </xf>
    <xf numFmtId="164" fontId="20" fillId="0" borderId="0" xfId="0" applyNumberFormat="1" applyFont="1" applyFill="1" applyAlignment="1">
      <alignment horizontal="right" vertical="center"/>
    </xf>
    <xf numFmtId="164" fontId="0" fillId="0" borderId="0" xfId="3" applyNumberFormat="1" applyFont="1" applyFill="1" applyAlignment="1">
      <alignment vertical="center"/>
    </xf>
    <xf numFmtId="164" fontId="0" fillId="0" borderId="0" xfId="5" applyNumberFormat="1" applyFont="1" applyFill="1" applyAlignment="1">
      <alignment vertical="center"/>
    </xf>
    <xf numFmtId="164" fontId="0" fillId="0" borderId="0" xfId="7" applyNumberFormat="1" applyFont="1" applyFill="1" applyAlignment="1">
      <alignment vertical="center"/>
    </xf>
    <xf numFmtId="164" fontId="0" fillId="12" borderId="0" xfId="7" applyNumberFormat="1" applyFont="1" applyFill="1" applyAlignment="1">
      <alignment vertical="center"/>
    </xf>
    <xf numFmtId="164" fontId="3" fillId="0" borderId="0" xfId="7" applyNumberFormat="1" applyFont="1" applyFill="1" applyAlignment="1">
      <alignment vertical="center"/>
    </xf>
    <xf numFmtId="164" fontId="4" fillId="10" borderId="0" xfId="7" applyNumberFormat="1" applyFont="1" applyFill="1" applyAlignment="1">
      <alignment vertical="center"/>
    </xf>
    <xf numFmtId="0" fontId="0" fillId="10" borderId="2" xfId="0" applyNumberFormat="1" applyFill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0" fontId="7" fillId="4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4" fontId="3" fillId="10" borderId="2" xfId="0" applyNumberFormat="1" applyFont="1" applyFill="1" applyBorder="1" applyAlignment="1">
      <alignment vertical="center"/>
    </xf>
    <xf numFmtId="0" fontId="3" fillId="1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0" borderId="10" xfId="0" applyBorder="1" applyAlignment="1">
      <alignment wrapText="1"/>
    </xf>
    <xf numFmtId="4" fontId="23" fillId="0" borderId="2" xfId="0" applyNumberFormat="1" applyFont="1" applyFill="1" applyBorder="1" applyAlignment="1">
      <alignment horizontal="left" vertical="center" wrapText="1"/>
    </xf>
    <xf numFmtId="0" fontId="0" fillId="13" borderId="2" xfId="0" applyNumberForma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49" fontId="38" fillId="18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12" borderId="2" xfId="0" applyNumberFormat="1" applyFill="1" applyBorder="1" applyAlignment="1">
      <alignment horizontal="left" vertical="center"/>
    </xf>
    <xf numFmtId="0" fontId="0" fillId="13" borderId="2" xfId="0" applyNumberFormat="1" applyFill="1" applyBorder="1" applyAlignment="1">
      <alignment horizontal="left" vertical="center"/>
    </xf>
    <xf numFmtId="0" fontId="7" fillId="12" borderId="2" xfId="0" applyFont="1" applyFill="1" applyBorder="1" applyAlignment="1">
      <alignment horizontal="left" vertical="center"/>
    </xf>
    <xf numFmtId="0" fontId="7" fillId="10" borderId="2" xfId="0" applyFont="1" applyFill="1" applyBorder="1" applyAlignment="1">
      <alignment horizontal="left" vertical="center"/>
    </xf>
    <xf numFmtId="0" fontId="0" fillId="10" borderId="2" xfId="0" applyNumberFormat="1" applyFill="1" applyBorder="1" applyAlignment="1">
      <alignment horizontal="left" vertical="center"/>
    </xf>
    <xf numFmtId="0" fontId="0" fillId="0" borderId="2" xfId="0" applyNumberFormat="1" applyFill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7" fillId="12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/>
    </xf>
    <xf numFmtId="0" fontId="1" fillId="0" borderId="2" xfId="19" applyNumberFormat="1" applyFill="1" applyBorder="1" applyAlignment="1">
      <alignment horizontal="left" vertical="center"/>
    </xf>
    <xf numFmtId="0" fontId="16" fillId="0" borderId="2" xfId="1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5" borderId="2" xfId="0" applyNumberFormat="1" applyFont="1" applyFill="1" applyBorder="1" applyAlignment="1">
      <alignment horizontal="left" vertical="center"/>
    </xf>
    <xf numFmtId="0" fontId="7" fillId="4" borderId="2" xfId="0" applyNumberFormat="1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13" borderId="2" xfId="0" applyFont="1" applyFill="1" applyBorder="1" applyAlignment="1">
      <alignment horizontal="left" vertical="center"/>
    </xf>
    <xf numFmtId="4" fontId="13" fillId="0" borderId="1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3" fillId="0" borderId="0" xfId="0" applyNumberFormat="1" applyFont="1" applyAlignment="1">
      <alignment horizontal="right" vertical="center" wrapText="1"/>
    </xf>
    <xf numFmtId="4" fontId="0" fillId="12" borderId="2" xfId="0" applyNumberFormat="1" applyFill="1" applyBorder="1" applyAlignment="1">
      <alignment horizontal="right" vertical="center"/>
    </xf>
    <xf numFmtId="4" fontId="0" fillId="13" borderId="2" xfId="0" applyNumberFormat="1" applyFill="1" applyBorder="1" applyAlignment="1">
      <alignment horizontal="right" vertical="center"/>
    </xf>
    <xf numFmtId="4" fontId="7" fillId="10" borderId="2" xfId="0" applyNumberFormat="1" applyFont="1" applyFill="1" applyBorder="1" applyAlignment="1">
      <alignment horizontal="right" vertical="center"/>
    </xf>
    <xf numFmtId="4" fontId="0" fillId="10" borderId="2" xfId="0" applyNumberFormat="1" applyFill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23" fillId="0" borderId="2" xfId="0" applyNumberFormat="1" applyFont="1" applyFill="1" applyBorder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4" fontId="1" fillId="0" borderId="2" xfId="19" applyNumberForma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0" fillId="0" borderId="0" xfId="0" applyNumberFormat="1" applyFont="1" applyFill="1" applyAlignment="1">
      <alignment horizontal="right" vertical="center"/>
    </xf>
    <xf numFmtId="4" fontId="7" fillId="0" borderId="0" xfId="0" applyNumberFormat="1" applyFont="1" applyFill="1" applyAlignment="1">
      <alignment horizontal="right" vertical="center"/>
    </xf>
    <xf numFmtId="4" fontId="16" fillId="0" borderId="2" xfId="1" applyNumberFormat="1" applyFont="1" applyFill="1" applyBorder="1" applyAlignment="1">
      <alignment horizontal="right" vertical="center"/>
    </xf>
    <xf numFmtId="4" fontId="0" fillId="12" borderId="0" xfId="0" applyNumberFormat="1" applyFill="1" applyAlignment="1">
      <alignment horizontal="right" vertical="center"/>
    </xf>
    <xf numFmtId="4" fontId="0" fillId="12" borderId="0" xfId="0" applyNumberFormat="1" applyFont="1" applyFill="1" applyAlignment="1">
      <alignment horizontal="right" vertical="center"/>
    </xf>
    <xf numFmtId="4" fontId="7" fillId="12" borderId="0" xfId="0" applyNumberFormat="1" applyFont="1" applyFill="1" applyAlignment="1">
      <alignment horizontal="right" vertical="center"/>
    </xf>
    <xf numFmtId="4" fontId="7" fillId="4" borderId="2" xfId="0" applyNumberFormat="1" applyFont="1" applyFill="1" applyBorder="1" applyAlignment="1">
      <alignment horizontal="right" vertical="center"/>
    </xf>
    <xf numFmtId="4" fontId="7" fillId="5" borderId="2" xfId="0" applyNumberFormat="1" applyFont="1" applyFill="1" applyBorder="1" applyAlignment="1">
      <alignment horizontal="right" vertical="center"/>
    </xf>
    <xf numFmtId="4" fontId="7" fillId="7" borderId="2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4" fontId="15" fillId="0" borderId="2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Alignment="1">
      <alignment horizontal="right" vertical="center"/>
    </xf>
    <xf numFmtId="4" fontId="0" fillId="6" borderId="0" xfId="0" applyNumberFormat="1" applyFill="1" applyBorder="1" applyAlignment="1">
      <alignment horizontal="right" vertical="center"/>
    </xf>
    <xf numFmtId="4" fontId="4" fillId="13" borderId="2" xfId="0" applyNumberFormat="1" applyFont="1" applyFill="1" applyBorder="1" applyAlignment="1">
      <alignment horizontal="right" vertical="center"/>
    </xf>
    <xf numFmtId="4" fontId="38" fillId="18" borderId="2" xfId="0" applyNumberFormat="1" applyFont="1" applyFill="1" applyBorder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164" fontId="2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vertical="center"/>
    </xf>
    <xf numFmtId="164" fontId="0" fillId="0" borderId="0" xfId="3" applyNumberFormat="1" applyFont="1" applyAlignment="1">
      <alignment vertical="center"/>
    </xf>
    <xf numFmtId="164" fontId="0" fillId="0" borderId="0" xfId="5" applyNumberFormat="1" applyFont="1" applyAlignment="1">
      <alignment vertical="center"/>
    </xf>
    <xf numFmtId="164" fontId="0" fillId="0" borderId="0" xfId="7" applyNumberFormat="1" applyFont="1" applyAlignment="1">
      <alignment vertical="center"/>
    </xf>
    <xf numFmtId="164" fontId="0" fillId="0" borderId="0" xfId="0" applyNumberFormat="1" applyFill="1"/>
    <xf numFmtId="164" fontId="20" fillId="0" borderId="0" xfId="0" applyNumberFormat="1" applyFont="1" applyAlignment="1">
      <alignment vertical="center" wrapText="1"/>
    </xf>
    <xf numFmtId="164" fontId="20" fillId="12" borderId="0" xfId="0" applyNumberFormat="1" applyFont="1" applyFill="1" applyAlignment="1">
      <alignment vertical="center"/>
    </xf>
    <xf numFmtId="164" fontId="19" fillId="0" borderId="0" xfId="0" applyNumberFormat="1" applyFont="1" applyFill="1" applyAlignment="1">
      <alignment vertical="center"/>
    </xf>
    <xf numFmtId="164" fontId="21" fillId="10" borderId="0" xfId="0" applyNumberFormat="1" applyFont="1" applyFill="1" applyAlignment="1">
      <alignment vertical="center"/>
    </xf>
    <xf numFmtId="0" fontId="0" fillId="4" borderId="2" xfId="0" applyNumberForma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1" fillId="4" borderId="2" xfId="19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vertical="center"/>
    </xf>
    <xf numFmtId="164" fontId="0" fillId="4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 wrapText="1"/>
    </xf>
    <xf numFmtId="0" fontId="0" fillId="4" borderId="2" xfId="0" applyNumberFormat="1" applyFill="1" applyBorder="1" applyAlignment="1">
      <alignment horizontal="center" vertical="center"/>
    </xf>
    <xf numFmtId="0" fontId="0" fillId="0" borderId="2" xfId="19" applyNumberFormat="1" applyFont="1" applyFill="1" applyBorder="1" applyAlignment="1">
      <alignment horizontal="center" vertical="center"/>
    </xf>
    <xf numFmtId="0" fontId="0" fillId="4" borderId="2" xfId="19" applyNumberFormat="1" applyFont="1" applyFill="1" applyBorder="1" applyAlignment="1">
      <alignment horizontal="center" vertical="center"/>
    </xf>
    <xf numFmtId="0" fontId="7" fillId="4" borderId="2" xfId="11" applyFont="1" applyFill="1" applyBorder="1" applyAlignment="1">
      <alignment horizontal="left" vertical="center" wrapText="1"/>
    </xf>
    <xf numFmtId="4" fontId="0" fillId="4" borderId="2" xfId="0" applyNumberFormat="1" applyFont="1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164" fontId="7" fillId="4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Border="1"/>
    <xf numFmtId="0" fontId="31" fillId="0" borderId="0" xfId="22"/>
    <xf numFmtId="49" fontId="6" fillId="8" borderId="0" xfId="0" applyNumberFormat="1" applyFont="1" applyFill="1" applyBorder="1" applyAlignment="1">
      <alignment horizontal="center" vertical="center" wrapText="1"/>
    </xf>
    <xf numFmtId="17" fontId="19" fillId="8" borderId="0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vertical="center" wrapText="1"/>
    </xf>
    <xf numFmtId="0" fontId="0" fillId="0" borderId="2" xfId="0" applyNumberFormat="1" applyFill="1" applyBorder="1" applyAlignment="1">
      <alignment horizontal="right" vertical="center"/>
    </xf>
    <xf numFmtId="0" fontId="0" fillId="0" borderId="2" xfId="0" applyNumberFormat="1" applyBorder="1" applyAlignment="1">
      <alignment horizontal="right"/>
    </xf>
    <xf numFmtId="0" fontId="28" fillId="0" borderId="2" xfId="0" applyNumberFormat="1" applyFont="1" applyFill="1" applyBorder="1" applyAlignment="1">
      <alignment vertical="center"/>
    </xf>
    <xf numFmtId="0" fontId="6" fillId="4" borderId="2" xfId="0" applyNumberFormat="1" applyFont="1" applyFill="1" applyBorder="1" applyAlignment="1">
      <alignment vertical="center"/>
    </xf>
    <xf numFmtId="0" fontId="0" fillId="6" borderId="2" xfId="0" applyNumberFormat="1" applyFill="1" applyBorder="1" applyAlignment="1">
      <alignment vertical="center"/>
    </xf>
    <xf numFmtId="49" fontId="6" fillId="6" borderId="2" xfId="0" applyNumberFormat="1" applyFont="1" applyFill="1" applyBorder="1" applyAlignment="1">
      <alignment vertical="center"/>
    </xf>
    <xf numFmtId="0" fontId="0" fillId="6" borderId="2" xfId="0" applyNumberFormat="1" applyFill="1" applyBorder="1" applyAlignment="1">
      <alignment vertical="center" wrapText="1"/>
    </xf>
    <xf numFmtId="4" fontId="0" fillId="6" borderId="2" xfId="0" applyNumberFormat="1" applyFill="1" applyBorder="1" applyAlignment="1">
      <alignment vertical="center"/>
    </xf>
    <xf numFmtId="4" fontId="0" fillId="6" borderId="2" xfId="0" applyNumberFormat="1" applyFill="1" applyBorder="1" applyAlignment="1">
      <alignment vertical="center" wrapText="1"/>
    </xf>
    <xf numFmtId="4" fontId="7" fillId="6" borderId="2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vertical="center" wrapText="1"/>
    </xf>
    <xf numFmtId="0" fontId="0" fillId="6" borderId="2" xfId="0" applyNumberFormat="1" applyFill="1" applyBorder="1" applyAlignment="1">
      <alignment horizontal="right"/>
    </xf>
    <xf numFmtId="0" fontId="3" fillId="6" borderId="2" xfId="0" applyNumberFormat="1" applyFont="1" applyFill="1" applyBorder="1" applyAlignment="1">
      <alignment horizontal="right"/>
    </xf>
    <xf numFmtId="0" fontId="6" fillId="6" borderId="2" xfId="0" applyNumberFormat="1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vertical="center"/>
    </xf>
    <xf numFmtId="0" fontId="15" fillId="6" borderId="2" xfId="0" applyNumberFormat="1" applyFont="1" applyFill="1" applyBorder="1" applyAlignment="1">
      <alignment vertical="center"/>
    </xf>
    <xf numFmtId="0" fontId="28" fillId="6" borderId="2" xfId="0" applyNumberFormat="1" applyFont="1" applyFill="1" applyBorder="1" applyAlignment="1">
      <alignment vertical="center"/>
    </xf>
    <xf numFmtId="0" fontId="15" fillId="6" borderId="2" xfId="0" applyFont="1" applyFill="1" applyBorder="1" applyAlignment="1">
      <alignment vertical="center" wrapText="1"/>
    </xf>
    <xf numFmtId="4" fontId="7" fillId="6" borderId="2" xfId="0" applyNumberFormat="1" applyFont="1" applyFill="1" applyBorder="1" applyAlignment="1">
      <alignment vertical="center" wrapText="1"/>
    </xf>
    <xf numFmtId="0" fontId="0" fillId="6" borderId="2" xfId="0" applyNumberFormat="1" applyFill="1" applyBorder="1"/>
    <xf numFmtId="0" fontId="3" fillId="6" borderId="2" xfId="0" applyNumberFormat="1" applyFont="1" applyFill="1" applyBorder="1"/>
    <xf numFmtId="0" fontId="0" fillId="6" borderId="2" xfId="0" applyNumberFormat="1" applyFill="1" applyBorder="1" applyAlignment="1">
      <alignment horizontal="center" vertical="center" wrapText="1"/>
    </xf>
    <xf numFmtId="0" fontId="17" fillId="6" borderId="2" xfId="1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0" fontId="15" fillId="4" borderId="2" xfId="0" applyNumberFormat="1" applyFont="1" applyFill="1" applyBorder="1" applyAlignment="1">
      <alignment vertical="center"/>
    </xf>
    <xf numFmtId="0" fontId="15" fillId="4" borderId="2" xfId="0" applyFont="1" applyFill="1" applyBorder="1" applyAlignment="1">
      <alignment vertical="center" wrapText="1"/>
    </xf>
    <xf numFmtId="0" fontId="28" fillId="4" borderId="2" xfId="0" applyNumberFormat="1" applyFont="1" applyFill="1" applyBorder="1" applyAlignment="1">
      <alignment vertical="center"/>
    </xf>
    <xf numFmtId="0" fontId="0" fillId="12" borderId="2" xfId="0" applyNumberFormat="1" applyFill="1" applyBorder="1" applyAlignment="1">
      <alignment vertical="center" wrapText="1"/>
    </xf>
    <xf numFmtId="4" fontId="0" fillId="12" borderId="2" xfId="0" applyNumberFormat="1" applyFill="1" applyBorder="1" applyAlignment="1">
      <alignment horizontal="right" vertical="center" wrapText="1"/>
    </xf>
    <xf numFmtId="4" fontId="0" fillId="12" borderId="2" xfId="0" applyNumberFormat="1" applyFill="1" applyBorder="1" applyAlignment="1">
      <alignment vertical="center"/>
    </xf>
    <xf numFmtId="4" fontId="0" fillId="12" borderId="2" xfId="0" applyNumberFormat="1" applyFill="1" applyBorder="1" applyAlignment="1">
      <alignment horizontal="right"/>
    </xf>
    <xf numFmtId="4" fontId="4" fillId="13" borderId="2" xfId="0" applyNumberFormat="1" applyFont="1" applyFill="1" applyBorder="1" applyAlignment="1">
      <alignment vertical="center"/>
    </xf>
    <xf numFmtId="0" fontId="13" fillId="0" borderId="1" xfId="0" applyNumberFormat="1" applyFont="1" applyBorder="1" applyAlignment="1">
      <alignment horizontal="center" vertical="center"/>
    </xf>
    <xf numFmtId="0" fontId="7" fillId="1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0" fillId="6" borderId="0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13" borderId="2" xfId="0" applyNumberFormat="1" applyFont="1" applyFill="1" applyBorder="1" applyAlignment="1">
      <alignment horizontal="center" vertical="center"/>
    </xf>
    <xf numFmtId="0" fontId="15" fillId="0" borderId="2" xfId="1" applyNumberFormat="1" applyFont="1" applyFill="1" applyBorder="1" applyAlignment="1">
      <alignment vertical="center"/>
    </xf>
    <xf numFmtId="0" fontId="15" fillId="0" borderId="2" xfId="1" applyFont="1" applyFill="1" applyBorder="1" applyAlignment="1">
      <alignment vertical="center" wrapText="1"/>
    </xf>
    <xf numFmtId="164" fontId="15" fillId="0" borderId="2" xfId="1" applyNumberFormat="1" applyFont="1" applyFill="1" applyBorder="1" applyAlignment="1">
      <alignment vertical="center"/>
    </xf>
    <xf numFmtId="0" fontId="15" fillId="0" borderId="2" xfId="1" applyNumberFormat="1" applyFont="1" applyFill="1" applyBorder="1" applyAlignment="1">
      <alignment horizontal="center" vertical="center"/>
    </xf>
    <xf numFmtId="0" fontId="1" fillId="0" borderId="2" xfId="19" applyNumberForma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4" fontId="1" fillId="0" borderId="2" xfId="19" applyNumberFormat="1" applyFill="1" applyBorder="1" applyAlignment="1">
      <alignment horizontal="right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right" vertical="center"/>
    </xf>
    <xf numFmtId="164" fontId="16" fillId="0" borderId="2" xfId="0" applyNumberFormat="1" applyFont="1" applyFill="1" applyBorder="1" applyAlignment="1">
      <alignment vertical="center"/>
    </xf>
    <xf numFmtId="164" fontId="39" fillId="0" borderId="2" xfId="0" applyNumberFormat="1" applyFont="1" applyFill="1" applyBorder="1" applyAlignment="1">
      <alignment horizontal="left" vertical="center" wrapText="1"/>
    </xf>
    <xf numFmtId="164" fontId="29" fillId="0" borderId="2" xfId="0" applyNumberFormat="1" applyFont="1" applyFill="1" applyBorder="1" applyAlignment="1">
      <alignment vertical="center"/>
    </xf>
    <xf numFmtId="4" fontId="0" fillId="0" borderId="2" xfId="0" applyNumberFormat="1" applyFill="1" applyBorder="1" applyAlignment="1">
      <alignment horizontal="left" vertical="center" wrapText="1"/>
    </xf>
    <xf numFmtId="164" fontId="0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/>
    </xf>
    <xf numFmtId="4" fontId="0" fillId="0" borderId="3" xfId="0" applyNumberFormat="1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164" fontId="16" fillId="0" borderId="2" xfId="1" applyNumberFormat="1" applyFont="1" applyFill="1" applyBorder="1" applyAlignment="1">
      <alignment vertical="center"/>
    </xf>
    <xf numFmtId="4" fontId="16" fillId="0" borderId="2" xfId="1" applyNumberFormat="1" applyFont="1" applyFill="1" applyBorder="1" applyAlignment="1">
      <alignment vertical="center" wrapText="1"/>
    </xf>
    <xf numFmtId="4" fontId="15" fillId="0" borderId="2" xfId="1" applyNumberFormat="1" applyFill="1" applyBorder="1" applyAlignment="1">
      <alignment vertical="center" wrapText="1"/>
    </xf>
    <xf numFmtId="0" fontId="35" fillId="19" borderId="2" xfId="0" applyFont="1" applyFill="1" applyBorder="1" applyAlignment="1">
      <alignment horizontal="center" vertical="center"/>
    </xf>
    <xf numFmtId="0" fontId="35" fillId="19" borderId="2" xfId="0" applyNumberFormat="1" applyFont="1" applyFill="1" applyBorder="1" applyAlignment="1">
      <alignment horizontal="center" vertical="center"/>
    </xf>
    <xf numFmtId="0" fontId="35" fillId="19" borderId="2" xfId="0" applyFont="1" applyFill="1" applyBorder="1" applyAlignment="1">
      <alignment horizontal="left" vertical="center"/>
    </xf>
    <xf numFmtId="4" fontId="35" fillId="19" borderId="2" xfId="0" applyNumberFormat="1" applyFont="1" applyFill="1" applyBorder="1" applyAlignment="1">
      <alignment horizontal="right" vertical="center"/>
    </xf>
    <xf numFmtId="0" fontId="7" fillId="15" borderId="2" xfId="0" applyFont="1" applyFill="1" applyBorder="1" applyAlignment="1">
      <alignment horizontal="center" vertical="center"/>
    </xf>
    <xf numFmtId="0" fontId="7" fillId="15" borderId="2" xfId="0" applyNumberFormat="1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left" vertical="center"/>
    </xf>
    <xf numFmtId="4" fontId="7" fillId="15" borderId="2" xfId="0" applyNumberFormat="1" applyFont="1" applyFill="1" applyBorder="1" applyAlignment="1">
      <alignment horizontal="right" vertical="center"/>
    </xf>
    <xf numFmtId="0" fontId="15" fillId="12" borderId="2" xfId="1" applyNumberFormat="1" applyFont="1" applyFill="1" applyBorder="1" applyAlignment="1">
      <alignment horizontal="center" vertical="center"/>
    </xf>
    <xf numFmtId="0" fontId="15" fillId="12" borderId="2" xfId="1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horizontal="right" vertical="top"/>
    </xf>
    <xf numFmtId="0" fontId="6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" fontId="2" fillId="12" borderId="2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164" fontId="0" fillId="4" borderId="0" xfId="0" applyNumberFormat="1" applyFill="1" applyBorder="1" applyAlignment="1">
      <alignment horizontal="right" vertical="center"/>
    </xf>
    <xf numFmtId="164" fontId="0" fillId="4" borderId="0" xfId="0" applyNumberForma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right" vertical="center" wrapText="1"/>
    </xf>
    <xf numFmtId="4" fontId="7" fillId="4" borderId="0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35" fillId="18" borderId="2" xfId="0" applyFont="1" applyFill="1" applyBorder="1" applyAlignment="1">
      <alignment horizontal="center" vertical="center"/>
    </xf>
    <xf numFmtId="0" fontId="35" fillId="18" borderId="2" xfId="0" applyNumberFormat="1" applyFont="1" applyFill="1" applyBorder="1" applyAlignment="1">
      <alignment horizontal="center" vertical="center"/>
    </xf>
    <xf numFmtId="0" fontId="35" fillId="18" borderId="2" xfId="0" applyFont="1" applyFill="1" applyBorder="1" applyAlignment="1">
      <alignment horizontal="left" vertical="center"/>
    </xf>
    <xf numFmtId="4" fontId="35" fillId="18" borderId="2" xfId="0" applyNumberFormat="1" applyFont="1" applyFill="1" applyBorder="1" applyAlignment="1">
      <alignment horizontal="right" vertical="center"/>
    </xf>
    <xf numFmtId="0" fontId="40" fillId="18" borderId="2" xfId="0" applyFont="1" applyFill="1" applyBorder="1" applyAlignment="1">
      <alignment horizontal="center" vertical="center"/>
    </xf>
    <xf numFmtId="0" fontId="41" fillId="18" borderId="2" xfId="0" applyFont="1" applyFill="1" applyBorder="1" applyAlignment="1">
      <alignment horizontal="center" vertical="center"/>
    </xf>
    <xf numFmtId="0" fontId="40" fillId="18" borderId="2" xfId="0" applyNumberFormat="1" applyFont="1" applyFill="1" applyBorder="1" applyAlignment="1">
      <alignment horizontal="center" vertical="center"/>
    </xf>
    <xf numFmtId="4" fontId="40" fillId="18" borderId="2" xfId="0" applyNumberFormat="1" applyFont="1" applyFill="1" applyBorder="1" applyAlignment="1">
      <alignment horizontal="right" vertical="center"/>
    </xf>
    <xf numFmtId="0" fontId="38" fillId="18" borderId="2" xfId="0" applyFont="1" applyFill="1" applyBorder="1" applyAlignment="1">
      <alignment horizontal="center" vertical="center"/>
    </xf>
    <xf numFmtId="0" fontId="42" fillId="18" borderId="2" xfId="0" applyNumberFormat="1" applyFont="1" applyFill="1" applyBorder="1" applyAlignment="1">
      <alignment horizontal="center" vertical="center"/>
    </xf>
    <xf numFmtId="0" fontId="43" fillId="18" borderId="2" xfId="0" applyNumberFormat="1" applyFont="1" applyFill="1" applyBorder="1" applyAlignment="1">
      <alignment horizontal="center" vertical="center"/>
    </xf>
    <xf numFmtId="0" fontId="35" fillId="18" borderId="2" xfId="19" applyNumberFormat="1" applyFont="1" applyFill="1" applyBorder="1" applyAlignment="1">
      <alignment horizontal="center" vertical="center"/>
    </xf>
    <xf numFmtId="0" fontId="38" fillId="18" borderId="2" xfId="19" applyNumberFormat="1" applyFont="1" applyFill="1" applyBorder="1" applyAlignment="1">
      <alignment horizontal="center" vertical="center"/>
    </xf>
    <xf numFmtId="0" fontId="42" fillId="18" borderId="2" xfId="1" applyNumberFormat="1" applyFont="1" applyFill="1" applyBorder="1" applyAlignment="1">
      <alignment horizontal="center" vertical="center"/>
    </xf>
    <xf numFmtId="0" fontId="43" fillId="18" borderId="2" xfId="1" applyNumberFormat="1" applyFont="1" applyFill="1" applyBorder="1" applyAlignment="1">
      <alignment horizontal="center" vertical="center"/>
    </xf>
    <xf numFmtId="0" fontId="42" fillId="18" borderId="2" xfId="1" applyFont="1" applyFill="1" applyBorder="1" applyAlignment="1">
      <alignment vertical="center" wrapText="1"/>
    </xf>
    <xf numFmtId="164" fontId="42" fillId="18" borderId="2" xfId="0" applyNumberFormat="1" applyFont="1" applyFill="1" applyBorder="1" applyAlignment="1">
      <alignment vertical="center"/>
    </xf>
    <xf numFmtId="0" fontId="38" fillId="18" borderId="2" xfId="0" applyNumberFormat="1" applyFont="1" applyFill="1" applyBorder="1" applyAlignment="1">
      <alignment horizontal="center" vertical="center"/>
    </xf>
    <xf numFmtId="164" fontId="35" fillId="18" borderId="2" xfId="0" applyNumberFormat="1" applyFont="1" applyFill="1" applyBorder="1" applyAlignment="1">
      <alignment horizontal="right" vertical="center"/>
    </xf>
    <xf numFmtId="164" fontId="35" fillId="18" borderId="2" xfId="0" applyNumberFormat="1" applyFont="1" applyFill="1" applyBorder="1" applyAlignment="1">
      <alignment vertical="center"/>
    </xf>
    <xf numFmtId="164" fontId="35" fillId="18" borderId="2" xfId="0" applyNumberFormat="1" applyFont="1" applyFill="1" applyBorder="1" applyAlignment="1">
      <alignment horizontal="right" vertical="center" wrapText="1"/>
    </xf>
    <xf numFmtId="4" fontId="35" fillId="18" borderId="2" xfId="0" applyNumberFormat="1" applyFont="1" applyFill="1" applyBorder="1" applyAlignment="1">
      <alignment vertical="center"/>
    </xf>
    <xf numFmtId="0" fontId="35" fillId="18" borderId="2" xfId="0" applyFont="1" applyFill="1" applyBorder="1" applyAlignment="1">
      <alignment vertical="center" wrapText="1"/>
    </xf>
    <xf numFmtId="4" fontId="35" fillId="18" borderId="2" xfId="0" applyNumberFormat="1" applyFont="1" applyFill="1" applyBorder="1" applyAlignment="1">
      <alignment vertical="center" wrapText="1"/>
    </xf>
    <xf numFmtId="164" fontId="35" fillId="18" borderId="2" xfId="0" applyNumberFormat="1" applyFont="1" applyFill="1" applyBorder="1" applyAlignment="1">
      <alignment vertical="center" wrapText="1"/>
    </xf>
    <xf numFmtId="0" fontId="35" fillId="18" borderId="2" xfId="0" applyFont="1" applyFill="1" applyBorder="1" applyAlignment="1">
      <alignment horizontal="left" vertical="center" wrapText="1"/>
    </xf>
    <xf numFmtId="0" fontId="44" fillId="18" borderId="2" xfId="11" applyFont="1" applyFill="1" applyBorder="1" applyAlignment="1">
      <alignment horizontal="left" vertical="center" wrapText="1"/>
    </xf>
    <xf numFmtId="164" fontId="42" fillId="18" borderId="2" xfId="1" applyNumberFormat="1" applyFont="1" applyFill="1" applyBorder="1" applyAlignment="1">
      <alignment vertical="center"/>
    </xf>
    <xf numFmtId="0" fontId="35" fillId="18" borderId="2" xfId="0" applyFont="1" applyFill="1" applyBorder="1" applyAlignment="1">
      <alignment horizontal="center"/>
    </xf>
    <xf numFmtId="0" fontId="38" fillId="18" borderId="2" xfId="0" applyFont="1" applyFill="1" applyBorder="1" applyAlignment="1">
      <alignment horizontal="center"/>
    </xf>
    <xf numFmtId="0" fontId="35" fillId="18" borderId="0" xfId="0" applyFont="1" applyFill="1" applyBorder="1" applyAlignment="1">
      <alignment horizontal="center" vertical="center"/>
    </xf>
    <xf numFmtId="0" fontId="38" fillId="18" borderId="0" xfId="0" applyFont="1" applyFill="1" applyBorder="1" applyAlignment="1">
      <alignment horizontal="center" vertical="center"/>
    </xf>
    <xf numFmtId="0" fontId="35" fillId="18" borderId="0" xfId="0" applyFont="1" applyFill="1" applyBorder="1" applyAlignment="1">
      <alignment vertical="center" wrapText="1"/>
    </xf>
    <xf numFmtId="164" fontId="35" fillId="18" borderId="0" xfId="0" applyNumberFormat="1" applyFont="1" applyFill="1" applyBorder="1" applyAlignment="1">
      <alignment horizontal="right" vertical="center"/>
    </xf>
    <xf numFmtId="164" fontId="35" fillId="18" borderId="0" xfId="0" applyNumberFormat="1" applyFont="1" applyFill="1" applyBorder="1" applyAlignment="1">
      <alignment vertical="center"/>
    </xf>
    <xf numFmtId="164" fontId="35" fillId="18" borderId="0" xfId="0" applyNumberFormat="1" applyFont="1" applyFill="1" applyBorder="1" applyAlignment="1">
      <alignment horizontal="right" vertical="center" wrapText="1"/>
    </xf>
    <xf numFmtId="4" fontId="35" fillId="18" borderId="0" xfId="0" applyNumberFormat="1" applyFont="1" applyFill="1" applyBorder="1" applyAlignment="1">
      <alignment vertical="center"/>
    </xf>
    <xf numFmtId="4" fontId="16" fillId="0" borderId="2" xfId="1" applyNumberFormat="1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left" wrapText="1"/>
    </xf>
    <xf numFmtId="4" fontId="7" fillId="10" borderId="2" xfId="0" applyNumberFormat="1" applyFont="1" applyFill="1" applyBorder="1" applyAlignment="1">
      <alignment horizontal="left" vertical="center" wrapText="1"/>
    </xf>
    <xf numFmtId="4" fontId="7" fillId="12" borderId="2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left" vertical="center" wrapText="1"/>
    </xf>
    <xf numFmtId="4" fontId="7" fillId="15" borderId="2" xfId="0" applyNumberFormat="1" applyFont="1" applyFill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vertical="center" wrapText="1"/>
    </xf>
    <xf numFmtId="4" fontId="15" fillId="0" borderId="2" xfId="1" applyNumberFormat="1" applyFont="1" applyFill="1" applyBorder="1" applyAlignment="1">
      <alignment vertical="center" wrapText="1"/>
    </xf>
    <xf numFmtId="4" fontId="42" fillId="18" borderId="2" xfId="1" applyNumberFormat="1" applyFont="1" applyFill="1" applyBorder="1" applyAlignment="1">
      <alignment vertical="center" wrapText="1"/>
    </xf>
    <xf numFmtId="49" fontId="0" fillId="4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4" fontId="45" fillId="0" borderId="1" xfId="0" applyNumberFormat="1" applyFont="1" applyBorder="1" applyAlignment="1">
      <alignment horizontal="left" vertical="center" wrapText="1"/>
    </xf>
    <xf numFmtId="4" fontId="7" fillId="18" borderId="2" xfId="0" applyNumberFormat="1" applyFont="1" applyFill="1" applyBorder="1" applyAlignment="1">
      <alignment horizontal="left" vertical="center" wrapText="1"/>
    </xf>
    <xf numFmtId="4" fontId="7" fillId="13" borderId="2" xfId="0" applyNumberFormat="1" applyFont="1" applyFill="1" applyBorder="1" applyAlignment="1">
      <alignment horizontal="left" vertical="center" wrapText="1"/>
    </xf>
    <xf numFmtId="4" fontId="23" fillId="0" borderId="2" xfId="0" applyNumberFormat="1" applyFont="1" applyBorder="1" applyAlignment="1">
      <alignment horizontal="left" vertical="center" wrapText="1"/>
    </xf>
    <xf numFmtId="4" fontId="23" fillId="18" borderId="2" xfId="0" applyNumberFormat="1" applyFont="1" applyFill="1" applyBorder="1" applyAlignment="1">
      <alignment horizontal="left" vertical="center" wrapText="1"/>
    </xf>
    <xf numFmtId="4" fontId="7" fillId="0" borderId="2" xfId="19" applyNumberFormat="1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left" vertical="center" wrapText="1"/>
    </xf>
    <xf numFmtId="4" fontId="7" fillId="19" borderId="2" xfId="0" applyNumberFormat="1" applyFont="1" applyFill="1" applyBorder="1" applyAlignment="1">
      <alignment horizontal="left" vertical="center" wrapText="1"/>
    </xf>
    <xf numFmtId="4" fontId="7" fillId="6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horizontal="left" vertical="center" wrapText="1"/>
    </xf>
    <xf numFmtId="4" fontId="7" fillId="0" borderId="0" xfId="0" applyNumberFormat="1" applyFont="1" applyBorder="1" applyAlignment="1">
      <alignment horizontal="left" vertical="center" wrapText="1"/>
    </xf>
    <xf numFmtId="4" fontId="23" fillId="13" borderId="2" xfId="0" applyNumberFormat="1" applyFont="1" applyFill="1" applyBorder="1" applyAlignment="1">
      <alignment horizontal="left" vertical="center" wrapText="1"/>
    </xf>
    <xf numFmtId="4" fontId="0" fillId="0" borderId="0" xfId="0" applyNumberFormat="1" applyFont="1" applyFill="1" applyAlignment="1">
      <alignment vertical="center"/>
    </xf>
    <xf numFmtId="0" fontId="6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left" vertical="center" wrapText="1"/>
    </xf>
    <xf numFmtId="4" fontId="0" fillId="0" borderId="0" xfId="0" applyNumberForma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12" borderId="0" xfId="0" applyNumberForma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left" wrapText="1"/>
    </xf>
    <xf numFmtId="4" fontId="38" fillId="18" borderId="2" xfId="0" applyNumberFormat="1" applyFont="1" applyFill="1" applyBorder="1" applyAlignment="1">
      <alignment horizontal="left" vertical="center" wrapText="1"/>
    </xf>
    <xf numFmtId="0" fontId="46" fillId="0" borderId="2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6" fillId="8" borderId="0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left" vertical="center" wrapText="1"/>
    </xf>
  </cellXfs>
  <cellStyles count="25">
    <cellStyle name="Hypertextový odkaz" xfId="22" builtinId="8"/>
    <cellStyle name="Normální" xfId="0" builtinId="0"/>
    <cellStyle name="normální 10 2" xfId="7"/>
    <cellStyle name="normální 12" xfId="24"/>
    <cellStyle name="Normální 2" xfId="1"/>
    <cellStyle name="normální 2 2" xfId="10"/>
    <cellStyle name="normální 2 2 2" xfId="11"/>
    <cellStyle name="normální 2 3" xfId="12"/>
    <cellStyle name="normální 2 3 2" xfId="13"/>
    <cellStyle name="normální 2 4" xfId="14"/>
    <cellStyle name="Normální 27" xfId="4"/>
    <cellStyle name="Normální 28" xfId="15"/>
    <cellStyle name="Normální 29" xfId="6"/>
    <cellStyle name="normální 3" xfId="16"/>
    <cellStyle name="normální 3 2" xfId="17"/>
    <cellStyle name="Normální 30" xfId="2"/>
    <cellStyle name="Normální 31" xfId="5"/>
    <cellStyle name="Normální 32" xfId="3"/>
    <cellStyle name="normální 4" xfId="18"/>
    <cellStyle name="normální 5" xfId="19"/>
    <cellStyle name="Normální 5 2" xfId="20"/>
    <cellStyle name="Normální 6" xfId="21"/>
    <cellStyle name="normální_CISELNIKY_VSE" xfId="8"/>
    <cellStyle name="normální_číselníky" xfId="9"/>
    <cellStyle name="Procenta" xfId="23" builtinId="5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2060"/>
        </patternFill>
      </fill>
    </dxf>
  </dxfs>
  <tableStyles count="2" defaultTableStyle="Styl tabulky 2" defaultPivotStyle="PivotStyleLight16">
    <tableStyle name="Styl tabulky 1" pivot="0" count="1">
      <tableStyleElement type="totalRow" dxfId="59"/>
    </tableStyle>
    <tableStyle name="Styl tabulky 2" pivot="0" count="1">
      <tableStyleElement type="totalRow" dxfId="5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4\eko_dok\R%202010\Hospoda&#345;en&#237;_M&#283;sta\cerp&#225;n&#237;_II_Q_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CET_MESTA/R%202017/2017_CERPANI_ROZPOCT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odareni_mesta"/>
      <sheetName val="polozky"/>
      <sheetName val="UZ"/>
      <sheetName val="paragrafy"/>
      <sheetName val="OrgC"/>
      <sheetName val="prijmy"/>
      <sheetName val="vyd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OrgC</v>
          </cell>
          <cell r="B1" t="str">
            <v>Text</v>
          </cell>
        </row>
        <row r="2">
          <cell r="A2">
            <v>1</v>
          </cell>
          <cell r="B2" t="str">
            <v>ČSOB-úroky,poplatky</v>
          </cell>
        </row>
        <row r="3">
          <cell r="A3">
            <v>2</v>
          </cell>
          <cell r="B3" t="str">
            <v>ČMHB-úroky,poplatky</v>
          </cell>
        </row>
        <row r="4">
          <cell r="A4">
            <v>3</v>
          </cell>
          <cell r="B4" t="str">
            <v>ČS-úroky z prémiového vkladu</v>
          </cell>
        </row>
        <row r="5">
          <cell r="A5">
            <v>31</v>
          </cell>
          <cell r="B5" t="str">
            <v>Půjčka-soc. fond</v>
          </cell>
        </row>
        <row r="6">
          <cell r="A6">
            <v>32</v>
          </cell>
          <cell r="B6" t="str">
            <v>Půjčka-soc. fond</v>
          </cell>
        </row>
        <row r="7">
          <cell r="A7">
            <v>34</v>
          </cell>
          <cell r="B7" t="str">
            <v>Půjčka- soc. fond</v>
          </cell>
        </row>
        <row r="8">
          <cell r="A8">
            <v>36</v>
          </cell>
          <cell r="B8" t="str">
            <v>Soc.fond-půjčka</v>
          </cell>
        </row>
        <row r="9">
          <cell r="A9">
            <v>37</v>
          </cell>
          <cell r="B9" t="str">
            <v>Soc.fond-půjčka</v>
          </cell>
        </row>
        <row r="10">
          <cell r="A10">
            <v>38</v>
          </cell>
          <cell r="B10" t="str">
            <v>Půjčka-soc.fond</v>
          </cell>
        </row>
        <row r="11">
          <cell r="A11">
            <v>39</v>
          </cell>
          <cell r="B11" t="str">
            <v>Půjčka-soc.fond</v>
          </cell>
        </row>
        <row r="12">
          <cell r="A12">
            <v>40</v>
          </cell>
          <cell r="B12" t="str">
            <v>Půjčka-soc.fond</v>
          </cell>
        </row>
        <row r="13">
          <cell r="A13">
            <v>41</v>
          </cell>
          <cell r="B13" t="str">
            <v>Půjčka-soc.fond</v>
          </cell>
        </row>
        <row r="14">
          <cell r="A14">
            <v>42</v>
          </cell>
          <cell r="B14" t="str">
            <v>Půjčka-soc. fond</v>
          </cell>
        </row>
        <row r="15">
          <cell r="A15">
            <v>43</v>
          </cell>
          <cell r="B15" t="str">
            <v>Půjčka-soc. fond</v>
          </cell>
        </row>
        <row r="16">
          <cell r="A16">
            <v>44</v>
          </cell>
          <cell r="B16" t="str">
            <v>Půjčka-soc. fond</v>
          </cell>
        </row>
        <row r="17">
          <cell r="A17">
            <v>45</v>
          </cell>
          <cell r="B17" t="str">
            <v>Půjčka- soc. fond</v>
          </cell>
        </row>
        <row r="18">
          <cell r="A18">
            <v>46</v>
          </cell>
          <cell r="B18" t="str">
            <v>Půjčka- soc. fond</v>
          </cell>
        </row>
        <row r="19">
          <cell r="A19">
            <v>47</v>
          </cell>
          <cell r="B19" t="str">
            <v>Soc.fond-půjčka</v>
          </cell>
        </row>
        <row r="20">
          <cell r="A20">
            <v>48</v>
          </cell>
          <cell r="B20" t="str">
            <v>Půjčka-soc.fond</v>
          </cell>
        </row>
        <row r="21">
          <cell r="A21">
            <v>49</v>
          </cell>
          <cell r="B21" t="str">
            <v>Půjčka- soc. fond</v>
          </cell>
        </row>
        <row r="22">
          <cell r="A22">
            <v>50</v>
          </cell>
          <cell r="B22" t="str">
            <v>Půjčka-soc.fond</v>
          </cell>
        </row>
        <row r="23">
          <cell r="A23">
            <v>51</v>
          </cell>
          <cell r="B23" t="str">
            <v>Půjčka-soc. fond</v>
          </cell>
        </row>
        <row r="24">
          <cell r="A24">
            <v>52</v>
          </cell>
          <cell r="B24" t="str">
            <v>Půjčka-soc.fond</v>
          </cell>
        </row>
        <row r="25">
          <cell r="A25">
            <v>53</v>
          </cell>
          <cell r="B25" t="str">
            <v>Půjčka-soc.fond</v>
          </cell>
        </row>
        <row r="26">
          <cell r="A26">
            <v>54</v>
          </cell>
          <cell r="B26" t="str">
            <v>Půjčka-soc.fond</v>
          </cell>
        </row>
        <row r="27">
          <cell r="A27">
            <v>55</v>
          </cell>
          <cell r="B27" t="str">
            <v>Půjčka-soc.fond</v>
          </cell>
        </row>
        <row r="28">
          <cell r="A28">
            <v>56</v>
          </cell>
          <cell r="B28" t="str">
            <v>Půjčka-sociální fond</v>
          </cell>
        </row>
        <row r="29">
          <cell r="A29">
            <v>57</v>
          </cell>
          <cell r="B29" t="str">
            <v>Půjčka-soc.fond</v>
          </cell>
        </row>
        <row r="30">
          <cell r="A30">
            <v>58</v>
          </cell>
          <cell r="B30" t="str">
            <v>Soc.fond-půjčka</v>
          </cell>
        </row>
        <row r="31">
          <cell r="A31">
            <v>59</v>
          </cell>
          <cell r="B31" t="str">
            <v>Soc.fond-půjčka</v>
          </cell>
        </row>
        <row r="32">
          <cell r="A32">
            <v>60</v>
          </cell>
          <cell r="B32" t="str">
            <v>Soc.fond-půjčka</v>
          </cell>
        </row>
        <row r="33">
          <cell r="A33">
            <v>61</v>
          </cell>
          <cell r="B33" t="str">
            <v>Půjčka-soc. fond</v>
          </cell>
        </row>
        <row r="34">
          <cell r="A34">
            <v>62</v>
          </cell>
          <cell r="B34" t="str">
            <v>Půjčka-soc.-fond</v>
          </cell>
        </row>
        <row r="35">
          <cell r="A35">
            <v>63</v>
          </cell>
          <cell r="B35" t="str">
            <v>Půjčka-soc. fond</v>
          </cell>
        </row>
        <row r="36">
          <cell r="A36">
            <v>64</v>
          </cell>
          <cell r="B36" t="str">
            <v>Půjčka-soc.fond</v>
          </cell>
        </row>
        <row r="37">
          <cell r="A37">
            <v>65</v>
          </cell>
          <cell r="B37" t="str">
            <v>Půjčka-soc. fond</v>
          </cell>
        </row>
        <row r="38">
          <cell r="A38">
            <v>66</v>
          </cell>
          <cell r="B38" t="str">
            <v>Půjčka-soc.fond</v>
          </cell>
        </row>
        <row r="39">
          <cell r="A39">
            <v>67</v>
          </cell>
          <cell r="B39" t="str">
            <v>Půjčka-soc. fond</v>
          </cell>
        </row>
        <row r="40">
          <cell r="A40">
            <v>68</v>
          </cell>
          <cell r="B40" t="str">
            <v>Půjčka-soc.fond</v>
          </cell>
        </row>
        <row r="41">
          <cell r="A41">
            <v>69</v>
          </cell>
          <cell r="B41" t="str">
            <v>Půjčka-soc.fond</v>
          </cell>
        </row>
        <row r="42">
          <cell r="A42">
            <v>70</v>
          </cell>
          <cell r="B42" t="str">
            <v>Půjčka-soc.fond</v>
          </cell>
        </row>
        <row r="43">
          <cell r="A43">
            <v>71</v>
          </cell>
          <cell r="B43" t="str">
            <v>Půjčka-soc.fond</v>
          </cell>
        </row>
        <row r="44">
          <cell r="A44">
            <v>72</v>
          </cell>
          <cell r="B44" t="str">
            <v>Půjčka-soc.fond</v>
          </cell>
        </row>
        <row r="45">
          <cell r="A45">
            <v>73</v>
          </cell>
          <cell r="B45" t="str">
            <v>Půjčka-soc.fond</v>
          </cell>
        </row>
        <row r="46">
          <cell r="A46">
            <v>74</v>
          </cell>
          <cell r="B46" t="str">
            <v>Půjčka-soc.fond</v>
          </cell>
        </row>
        <row r="47">
          <cell r="A47">
            <v>75</v>
          </cell>
          <cell r="B47" t="str">
            <v>Půjčka-soc.fond</v>
          </cell>
        </row>
        <row r="48">
          <cell r="A48">
            <v>76</v>
          </cell>
          <cell r="B48" t="str">
            <v>Půjčka-soc.fond</v>
          </cell>
        </row>
        <row r="49">
          <cell r="A49">
            <v>77</v>
          </cell>
          <cell r="B49" t="str">
            <v>Půjčka-soc.fond</v>
          </cell>
        </row>
        <row r="50">
          <cell r="A50">
            <v>78</v>
          </cell>
          <cell r="B50" t="str">
            <v>Půjčka -soc.fond</v>
          </cell>
        </row>
        <row r="51">
          <cell r="A51">
            <v>79</v>
          </cell>
          <cell r="B51" t="str">
            <v>Půjčka-soc.fond</v>
          </cell>
        </row>
        <row r="52">
          <cell r="A52">
            <v>80</v>
          </cell>
          <cell r="B52" t="str">
            <v>Půjčka-soc.fond</v>
          </cell>
        </row>
        <row r="53">
          <cell r="A53">
            <v>81</v>
          </cell>
          <cell r="B53" t="str">
            <v>Půjčka-soc.fond</v>
          </cell>
        </row>
        <row r="54">
          <cell r="A54">
            <v>82</v>
          </cell>
          <cell r="B54" t="str">
            <v>Půjčka-soc.fond</v>
          </cell>
        </row>
        <row r="55">
          <cell r="A55">
            <v>83</v>
          </cell>
          <cell r="B55" t="str">
            <v>Půjčka-soc.fond</v>
          </cell>
        </row>
        <row r="56">
          <cell r="A56">
            <v>84</v>
          </cell>
          <cell r="B56" t="str">
            <v>Půjčka-soc.fond</v>
          </cell>
        </row>
        <row r="57">
          <cell r="A57">
            <v>85</v>
          </cell>
          <cell r="B57" t="str">
            <v>Půjčka-soc.fond</v>
          </cell>
        </row>
        <row r="58">
          <cell r="A58">
            <v>86</v>
          </cell>
          <cell r="B58" t="str">
            <v>Půjčka-soc.fond</v>
          </cell>
        </row>
        <row r="59">
          <cell r="A59">
            <v>87</v>
          </cell>
          <cell r="B59" t="str">
            <v>Půjčka-soc.fond</v>
          </cell>
        </row>
        <row r="60">
          <cell r="A60">
            <v>88</v>
          </cell>
          <cell r="B60" t="str">
            <v>Půjčka - soc. fond</v>
          </cell>
        </row>
        <row r="61">
          <cell r="A61">
            <v>201</v>
          </cell>
          <cell r="B61" t="str">
            <v>Vnitřní správa-maj.</v>
          </cell>
        </row>
        <row r="62">
          <cell r="A62">
            <v>202</v>
          </cell>
          <cell r="B62" t="str">
            <v>Kancelář starosty-maj.</v>
          </cell>
        </row>
        <row r="63">
          <cell r="A63">
            <v>203</v>
          </cell>
          <cell r="B63" t="str">
            <v>Domovní čísla materiál</v>
          </cell>
        </row>
        <row r="64">
          <cell r="A64">
            <v>204</v>
          </cell>
          <cell r="B64" t="str">
            <v>Známky pro psy materiál</v>
          </cell>
        </row>
        <row r="65">
          <cell r="A65">
            <v>205</v>
          </cell>
          <cell r="B65" t="str">
            <v>Majetek CO</v>
          </cell>
        </row>
        <row r="66">
          <cell r="A66">
            <v>206</v>
          </cell>
          <cell r="B66" t="str">
            <v>Požární ochrana majetek</v>
          </cell>
        </row>
        <row r="67">
          <cell r="A67">
            <v>210</v>
          </cell>
          <cell r="B67" t="str">
            <v>Městská policie-maj.</v>
          </cell>
        </row>
        <row r="68">
          <cell r="A68">
            <v>213</v>
          </cell>
          <cell r="B68" t="str">
            <v>Ceniny-kolky majetek</v>
          </cell>
        </row>
        <row r="69">
          <cell r="A69">
            <v>240</v>
          </cell>
          <cell r="B69" t="str">
            <v>Územní a region.rozvoj</v>
          </cell>
        </row>
        <row r="70">
          <cell r="A70">
            <v>250</v>
          </cell>
          <cell r="B70" t="str">
            <v>Odbor investic</v>
          </cell>
        </row>
        <row r="71">
          <cell r="A71">
            <v>260</v>
          </cell>
          <cell r="B71" t="str">
            <v>Odbor kultury-maj.</v>
          </cell>
        </row>
        <row r="72">
          <cell r="A72">
            <v>261</v>
          </cell>
          <cell r="B72" t="str">
            <v>Videofilmstudio-maj.</v>
          </cell>
        </row>
        <row r="73">
          <cell r="A73">
            <v>262</v>
          </cell>
          <cell r="B73" t="str">
            <v>SPOZ-maj.</v>
          </cell>
        </row>
        <row r="74">
          <cell r="A74">
            <v>270</v>
          </cell>
          <cell r="B74" t="str">
            <v>Životní prostředí-maj.</v>
          </cell>
        </row>
        <row r="75">
          <cell r="A75">
            <v>280</v>
          </cell>
          <cell r="B75" t="str">
            <v>Odbor památkové péče-maj.</v>
          </cell>
        </row>
        <row r="76">
          <cell r="A76">
            <v>297</v>
          </cell>
          <cell r="B76" t="str">
            <v>Pronájem ZŠ</v>
          </cell>
        </row>
        <row r="77">
          <cell r="A77">
            <v>300</v>
          </cell>
          <cell r="B77" t="str">
            <v>Nemocnice s.r.o.,majetek</v>
          </cell>
        </row>
        <row r="78">
          <cell r="A78">
            <v>555</v>
          </cell>
          <cell r="B78" t="str">
            <v>Pečovatelská služba majetek</v>
          </cell>
        </row>
        <row r="79">
          <cell r="A79">
            <v>584</v>
          </cell>
          <cell r="B79" t="str">
            <v>Městská knihovna majetek</v>
          </cell>
        </row>
        <row r="80">
          <cell r="A80">
            <v>588</v>
          </cell>
          <cell r="B80" t="str">
            <v>Liga pro ochranu. zvířat materiál</v>
          </cell>
        </row>
        <row r="81">
          <cell r="A81">
            <v>624</v>
          </cell>
          <cell r="B81" t="str">
            <v>Klub OAZA materiál</v>
          </cell>
        </row>
        <row r="82">
          <cell r="A82">
            <v>628</v>
          </cell>
          <cell r="B82" t="str">
            <v>Galerie F..Jeneweina. - závazky.r.2002</v>
          </cell>
        </row>
        <row r="83">
          <cell r="A83">
            <v>667</v>
          </cell>
          <cell r="B83" t="str">
            <v>Průvod.služba-maj.</v>
          </cell>
        </row>
        <row r="84">
          <cell r="A84">
            <v>701</v>
          </cell>
          <cell r="B84" t="str">
            <v>MŠ Benešova 1 majetek</v>
          </cell>
        </row>
        <row r="85">
          <cell r="A85">
            <v>704</v>
          </cell>
          <cell r="B85" t="str">
            <v>MŠ Sedlec majetek</v>
          </cell>
        </row>
        <row r="86">
          <cell r="A86">
            <v>705</v>
          </cell>
          <cell r="B86" t="str">
            <v>MŠ Kaňk majetek</v>
          </cell>
        </row>
        <row r="87">
          <cell r="A87">
            <v>706</v>
          </cell>
          <cell r="B87" t="str">
            <v>MŠ Dačického majetek</v>
          </cell>
        </row>
        <row r="88">
          <cell r="A88">
            <v>707</v>
          </cell>
          <cell r="B88" t="str">
            <v>MŠ Žižkov majetek</v>
          </cell>
        </row>
        <row r="89">
          <cell r="A89">
            <v>708</v>
          </cell>
          <cell r="B89" t="str">
            <v>MŠ Malín majetek</v>
          </cell>
        </row>
        <row r="90">
          <cell r="A90">
            <v>712</v>
          </cell>
          <cell r="B90" t="str">
            <v>MŠ 17.listopadu majetek</v>
          </cell>
        </row>
        <row r="91">
          <cell r="A91">
            <v>713</v>
          </cell>
          <cell r="B91" t="str">
            <v>MŠ Benešova 149 I. majetek</v>
          </cell>
        </row>
        <row r="92">
          <cell r="A92">
            <v>716</v>
          </cell>
          <cell r="B92" t="str">
            <v>MŠ Benešova 149 II. majetek</v>
          </cell>
        </row>
        <row r="93">
          <cell r="A93">
            <v>717</v>
          </cell>
          <cell r="B93" t="str">
            <v>Klub důchodců-maj.</v>
          </cell>
        </row>
        <row r="94">
          <cell r="A94">
            <v>719</v>
          </cell>
          <cell r="B94" t="str">
            <v>DM TGM</v>
          </cell>
        </row>
        <row r="95">
          <cell r="A95">
            <v>720</v>
          </cell>
          <cell r="B95" t="str">
            <v>ZŠ Kamenná stezka majetek</v>
          </cell>
        </row>
        <row r="96">
          <cell r="A96">
            <v>722</v>
          </cell>
          <cell r="B96" t="str">
            <v>ZŠ TGM majetek</v>
          </cell>
        </row>
        <row r="97">
          <cell r="A97">
            <v>723</v>
          </cell>
          <cell r="B97" t="str">
            <v>ZŠ Žižkov majetek</v>
          </cell>
        </row>
        <row r="98">
          <cell r="A98">
            <v>725</v>
          </cell>
          <cell r="B98" t="str">
            <v>ZŠ Kaňk majetek</v>
          </cell>
        </row>
        <row r="99">
          <cell r="A99">
            <v>726</v>
          </cell>
          <cell r="B99" t="str">
            <v>ZŠ Malín majetek</v>
          </cell>
        </row>
        <row r="100">
          <cell r="A100">
            <v>728</v>
          </cell>
          <cell r="B100" t="str">
            <v>Jeneweinova galerie majetek</v>
          </cell>
        </row>
        <row r="101">
          <cell r="A101">
            <v>729</v>
          </cell>
          <cell r="B101" t="str">
            <v>Komunitní plán-materiál</v>
          </cell>
        </row>
        <row r="102">
          <cell r="A102">
            <v>730</v>
          </cell>
          <cell r="B102" t="str">
            <v>DM ZŠ Kamenná stezka</v>
          </cell>
        </row>
        <row r="103">
          <cell r="A103">
            <v>733</v>
          </cell>
          <cell r="B103" t="str">
            <v>DM ZŠ Žižkov</v>
          </cell>
        </row>
        <row r="104">
          <cell r="A104">
            <v>734</v>
          </cell>
          <cell r="B104" t="str">
            <v>Nemocnice majetek</v>
          </cell>
        </row>
        <row r="105">
          <cell r="A105">
            <v>736</v>
          </cell>
          <cell r="B105" t="str">
            <v>Rozvoj města-maj.</v>
          </cell>
        </row>
        <row r="106">
          <cell r="A106">
            <v>738</v>
          </cell>
          <cell r="B106" t="str">
            <v>DM ZŠ J.Palacha majetek</v>
          </cell>
        </row>
        <row r="107">
          <cell r="A107">
            <v>739</v>
          </cell>
          <cell r="B107" t="str">
            <v>Stanice pro psy-maj.</v>
          </cell>
        </row>
        <row r="108">
          <cell r="A108">
            <v>740</v>
          </cell>
          <cell r="B108" t="str">
            <v>ŠJ 17.listopadu majetek</v>
          </cell>
        </row>
        <row r="109">
          <cell r="A109">
            <v>741</v>
          </cell>
          <cell r="B109" t="str">
            <v>ŠJ TGM majetek</v>
          </cell>
        </row>
        <row r="110">
          <cell r="A110">
            <v>742</v>
          </cell>
          <cell r="B110" t="str">
            <v>ŠJ Kremnická majetek</v>
          </cell>
        </row>
        <row r="111">
          <cell r="A111">
            <v>743</v>
          </cell>
          <cell r="B111" t="str">
            <v>ŠJ Malín majetek</v>
          </cell>
        </row>
        <row r="112">
          <cell r="A112">
            <v>744</v>
          </cell>
          <cell r="B112" t="str">
            <v>ŠJ Benešova majetek</v>
          </cell>
        </row>
        <row r="113">
          <cell r="A113">
            <v>745</v>
          </cell>
          <cell r="B113" t="str">
            <v>ŠJ J.Palacha majetek</v>
          </cell>
        </row>
        <row r="114">
          <cell r="A114">
            <v>748</v>
          </cell>
          <cell r="B114" t="str">
            <v>ŠJ MŠ Žižkov majetek</v>
          </cell>
        </row>
        <row r="115">
          <cell r="A115">
            <v>750</v>
          </cell>
          <cell r="B115" t="str">
            <v>ZUŠ majetek</v>
          </cell>
        </row>
        <row r="116">
          <cell r="A116">
            <v>751</v>
          </cell>
          <cell r="B116" t="str">
            <v>DM Malín</v>
          </cell>
        </row>
        <row r="117">
          <cell r="A117">
            <v>752</v>
          </cell>
          <cell r="B117" t="str">
            <v>DM Kaňk</v>
          </cell>
        </row>
        <row r="118">
          <cell r="A118">
            <v>759</v>
          </cell>
          <cell r="B118" t="str">
            <v>ZŠ J.Palacha majetek</v>
          </cell>
        </row>
        <row r="119">
          <cell r="A119">
            <v>760</v>
          </cell>
          <cell r="B119" t="str">
            <v>Tylovo divadlo majetek</v>
          </cell>
        </row>
        <row r="120">
          <cell r="A120">
            <v>780</v>
          </cell>
          <cell r="B120" t="str">
            <v>Kino majetek</v>
          </cell>
        </row>
        <row r="121">
          <cell r="A121">
            <v>790</v>
          </cell>
          <cell r="B121" t="str">
            <v>Majetkový odbor-maj.</v>
          </cell>
        </row>
        <row r="122">
          <cell r="A122">
            <v>800</v>
          </cell>
          <cell r="B122" t="str">
            <v>Půjčka,Dobiášová-Nemocnice</v>
          </cell>
        </row>
        <row r="123">
          <cell r="A123">
            <v>2001</v>
          </cell>
          <cell r="B123" t="str">
            <v>Účet 933 schodek z r.2001</v>
          </cell>
        </row>
        <row r="124">
          <cell r="A124">
            <v>2002</v>
          </cell>
          <cell r="B124" t="str">
            <v>Účet 933 schodek z r. 2002</v>
          </cell>
        </row>
        <row r="125">
          <cell r="A125">
            <v>2003</v>
          </cell>
          <cell r="B125" t="str">
            <v>Účet 933 schodek r.2003</v>
          </cell>
        </row>
        <row r="126">
          <cell r="A126">
            <v>2005</v>
          </cell>
          <cell r="B126" t="str">
            <v>Ú.933-zúčt.příj.a výdajů r.05</v>
          </cell>
        </row>
        <row r="127">
          <cell r="A127">
            <v>2006</v>
          </cell>
          <cell r="B127" t="str">
            <v>Ú.933-zúčt.příj.a výdajů r.06</v>
          </cell>
        </row>
        <row r="128">
          <cell r="A128">
            <v>2007</v>
          </cell>
          <cell r="B128" t="str">
            <v>Ú.933-zúčt.příj.a výdajů r.07</v>
          </cell>
        </row>
        <row r="129">
          <cell r="A129">
            <v>10001</v>
          </cell>
          <cell r="B129" t="str">
            <v>Sídliště - bourání skleníků</v>
          </cell>
        </row>
        <row r="130">
          <cell r="A130">
            <v>10002</v>
          </cell>
          <cell r="B130" t="str">
            <v>Bourání komínu</v>
          </cell>
        </row>
        <row r="131">
          <cell r="A131">
            <v>10003</v>
          </cell>
          <cell r="B131" t="str">
            <v>Bourání vodojemu Sedlec</v>
          </cell>
        </row>
        <row r="132">
          <cell r="A132">
            <v>10004</v>
          </cell>
          <cell r="B132" t="str">
            <v>Skleníky v areálu hřbitova</v>
          </cell>
        </row>
        <row r="133">
          <cell r="A133">
            <v>10005</v>
          </cell>
          <cell r="B133" t="str">
            <v>Znalecké posudky</v>
          </cell>
        </row>
        <row r="134">
          <cell r="A134">
            <v>10006</v>
          </cell>
          <cell r="B134" t="str">
            <v>Mapy, plány</v>
          </cell>
        </row>
        <row r="135">
          <cell r="A135">
            <v>10100</v>
          </cell>
          <cell r="B135" t="str">
            <v>Rybník Bylany</v>
          </cell>
        </row>
        <row r="136">
          <cell r="A136">
            <v>11001</v>
          </cell>
          <cell r="B136" t="str">
            <v>Václavské náměstí 182</v>
          </cell>
        </row>
        <row r="137">
          <cell r="A137">
            <v>11002</v>
          </cell>
          <cell r="B137" t="str">
            <v>UHavířů 154</v>
          </cell>
        </row>
        <row r="138">
          <cell r="A138">
            <v>11003</v>
          </cell>
          <cell r="B138" t="str">
            <v>Komenského 41</v>
          </cell>
        </row>
        <row r="139">
          <cell r="A139">
            <v>11004</v>
          </cell>
          <cell r="B139" t="str">
            <v>Komenského 42</v>
          </cell>
        </row>
        <row r="140">
          <cell r="A140">
            <v>11005</v>
          </cell>
          <cell r="B140" t="str">
            <v>Čáslavská 1-3</v>
          </cell>
        </row>
        <row r="141">
          <cell r="A141">
            <v>11006</v>
          </cell>
          <cell r="B141" t="str">
            <v>Hřbitov Česká ulice</v>
          </cell>
        </row>
        <row r="142">
          <cell r="A142">
            <v>11007</v>
          </cell>
          <cell r="B142" t="str">
            <v>Pirknerovo náměstí 206</v>
          </cell>
        </row>
        <row r="143">
          <cell r="A143">
            <v>11008</v>
          </cell>
          <cell r="B143" t="str">
            <v>Šultysova 154</v>
          </cell>
        </row>
        <row r="144">
          <cell r="A144">
            <v>11009</v>
          </cell>
          <cell r="B144" t="str">
            <v>Nádražní 307</v>
          </cell>
        </row>
        <row r="145">
          <cell r="A145">
            <v>11010</v>
          </cell>
          <cell r="B145" t="str">
            <v>Palackého nám.379</v>
          </cell>
        </row>
        <row r="146">
          <cell r="A146">
            <v>11623</v>
          </cell>
          <cell r="B146" t="str">
            <v>Kaplička nad Lorcem</v>
          </cell>
        </row>
        <row r="147">
          <cell r="A147">
            <v>11624</v>
          </cell>
          <cell r="B147" t="str">
            <v>Kaplička Vocelova ulice</v>
          </cell>
        </row>
        <row r="148">
          <cell r="A148">
            <v>11625</v>
          </cell>
          <cell r="B148" t="str">
            <v>Kaplička Žižkova brána</v>
          </cell>
        </row>
        <row r="149">
          <cell r="A149">
            <v>11626</v>
          </cell>
          <cell r="B149" t="str">
            <v>Preghaus</v>
          </cell>
        </row>
        <row r="150">
          <cell r="A150">
            <v>11627</v>
          </cell>
          <cell r="B150" t="str">
            <v>Kaplička Kaňk</v>
          </cell>
        </row>
        <row r="151">
          <cell r="A151">
            <v>11628</v>
          </cell>
          <cell r="B151" t="str">
            <v>Kaplička Česká č.103</v>
          </cell>
        </row>
        <row r="152">
          <cell r="A152">
            <v>11629</v>
          </cell>
          <cell r="B152" t="str">
            <v>Kostel Sv. Jakuba</v>
          </cell>
        </row>
        <row r="153">
          <cell r="A153">
            <v>11630</v>
          </cell>
          <cell r="B153" t="str">
            <v>Vlašský dvůr</v>
          </cell>
        </row>
        <row r="154">
          <cell r="A154">
            <v>11631</v>
          </cell>
          <cell r="B154" t="str">
            <v>Kaple Božího těla</v>
          </cell>
        </row>
        <row r="155">
          <cell r="A155">
            <v>11632</v>
          </cell>
          <cell r="B155" t="str">
            <v>Kostnice Sedlec</v>
          </cell>
        </row>
        <row r="156">
          <cell r="A156">
            <v>11633</v>
          </cell>
          <cell r="B156" t="str">
            <v>Hrádek (Barborská 28)</v>
          </cell>
        </row>
        <row r="157">
          <cell r="A157">
            <v>11634</v>
          </cell>
          <cell r="B157" t="str">
            <v>Kostel Sv.Jana Nepomuckého</v>
          </cell>
        </row>
        <row r="158">
          <cell r="A158">
            <v>11635</v>
          </cell>
          <cell r="B158" t="str">
            <v>Kostel Sv. Barbory</v>
          </cell>
        </row>
        <row r="159">
          <cell r="A159">
            <v>11636</v>
          </cell>
          <cell r="B159" t="str">
            <v>Historické jádro</v>
          </cell>
        </row>
        <row r="160">
          <cell r="A160">
            <v>11637</v>
          </cell>
          <cell r="B160" t="str">
            <v>Kamenný dům</v>
          </cell>
        </row>
        <row r="161">
          <cell r="A161">
            <v>11638</v>
          </cell>
          <cell r="B161" t="str">
            <v>Sankturinovský dům</v>
          </cell>
        </row>
        <row r="162">
          <cell r="A162">
            <v>11639</v>
          </cell>
          <cell r="B162" t="str">
            <v>Morový sloup</v>
          </cell>
        </row>
        <row r="163">
          <cell r="A163">
            <v>11640</v>
          </cell>
          <cell r="B163" t="str">
            <v>Arciděkanství 1 opěrná zeď</v>
          </cell>
        </row>
        <row r="164">
          <cell r="A164">
            <v>11641</v>
          </cell>
          <cell r="B164" t="str">
            <v>Most přes Bylanku</v>
          </cell>
        </row>
        <row r="165">
          <cell r="A165">
            <v>11642</v>
          </cell>
          <cell r="B165" t="str">
            <v>Arciděkanství 1 budova</v>
          </cell>
        </row>
        <row r="166">
          <cell r="A166">
            <v>11643</v>
          </cell>
          <cell r="B166" t="str">
            <v>Hrádek ohradní zeď</v>
          </cell>
        </row>
        <row r="167">
          <cell r="A167">
            <v>11644</v>
          </cell>
          <cell r="B167" t="str">
            <v>Gotická kašna</v>
          </cell>
        </row>
        <row r="168">
          <cell r="A168">
            <v>11645</v>
          </cell>
          <cell r="B168" t="str">
            <v>Kostel Matky Boží</v>
          </cell>
        </row>
        <row r="169">
          <cell r="A169">
            <v>11646</v>
          </cell>
          <cell r="B169" t="str">
            <v>Ohradní zeď na Valech</v>
          </cell>
        </row>
        <row r="170">
          <cell r="A170">
            <v>11647</v>
          </cell>
          <cell r="B170" t="str">
            <v>Ohradní zeď Dačického nám.č.p.16</v>
          </cell>
        </row>
        <row r="171">
          <cell r="A171">
            <v>11648</v>
          </cell>
          <cell r="B171" t="str">
            <v>Kamenná kašna</v>
          </cell>
        </row>
        <row r="172">
          <cell r="A172">
            <v>11649</v>
          </cell>
          <cell r="B172" t="str">
            <v>Kaplička Na Rovinách</v>
          </cell>
        </row>
        <row r="173">
          <cell r="A173">
            <v>11650</v>
          </cell>
          <cell r="B173" t="str">
            <v>Pomník Kalvárie</v>
          </cell>
        </row>
        <row r="174">
          <cell r="A174">
            <v>11651</v>
          </cell>
          <cell r="B174" t="str">
            <v>Socha Panny Marie</v>
          </cell>
        </row>
        <row r="175">
          <cell r="A175">
            <v>11652</v>
          </cell>
          <cell r="B175" t="str">
            <v>Palackého nám.č. 155</v>
          </cell>
        </row>
        <row r="176">
          <cell r="A176">
            <v>11738</v>
          </cell>
          <cell r="B176" t="str">
            <v>U Všech svatých</v>
          </cell>
        </row>
        <row r="177">
          <cell r="A177">
            <v>11739</v>
          </cell>
          <cell r="B177" t="str">
            <v>Kouřimská zeď</v>
          </cell>
        </row>
        <row r="178">
          <cell r="A178">
            <v>11740</v>
          </cell>
          <cell r="B178" t="str">
            <v>Opěrná zeď u kostela sv. Jakub</v>
          </cell>
        </row>
        <row r="179">
          <cell r="A179">
            <v>11743</v>
          </cell>
          <cell r="B179" t="str">
            <v>Branka Hrádek</v>
          </cell>
        </row>
        <row r="180">
          <cell r="A180">
            <v>11744</v>
          </cell>
          <cell r="B180" t="str">
            <v>Kašna - Palackého náměstí</v>
          </cell>
        </row>
        <row r="181">
          <cell r="A181">
            <v>11745</v>
          </cell>
          <cell r="B181" t="str">
            <v>Obnova kamenného schodiště - Vlašský dvůr</v>
          </cell>
        </row>
        <row r="182">
          <cell r="A182">
            <v>11750</v>
          </cell>
          <cell r="B182" t="str">
            <v>Vladislavova 376</v>
          </cell>
        </row>
        <row r="183">
          <cell r="A183">
            <v>11900</v>
          </cell>
          <cell r="B183" t="str">
            <v>Osvětlení Jezuitské koleje</v>
          </cell>
        </row>
        <row r="184">
          <cell r="A184">
            <v>11901</v>
          </cell>
          <cell r="B184" t="str">
            <v>Socha sv.Václava a okolí</v>
          </cell>
        </row>
        <row r="185">
          <cell r="A185">
            <v>11902</v>
          </cell>
          <cell r="B185" t="str">
            <v>Sochy u Jezuitské koleje</v>
          </cell>
        </row>
        <row r="186">
          <cell r="A186">
            <v>11903</v>
          </cell>
          <cell r="B186" t="str">
            <v>Socha sv.J.Křtitele Jánské náměstí</v>
          </cell>
        </row>
        <row r="187">
          <cell r="A187">
            <v>11904</v>
          </cell>
          <cell r="B187" t="str">
            <v>Malby Vlašský dvůr</v>
          </cell>
        </row>
        <row r="188">
          <cell r="A188">
            <v>11905</v>
          </cell>
          <cell r="B188" t="str">
            <v>Srubová místnost Hrádek</v>
          </cell>
        </row>
        <row r="189">
          <cell r="A189">
            <v>11906</v>
          </cell>
          <cell r="B189" t="str">
            <v>Lávka v Hutích a socha světce</v>
          </cell>
        </row>
        <row r="190">
          <cell r="A190">
            <v>11907</v>
          </cell>
          <cell r="B190" t="str">
            <v>Socha J. Nepomuckého Hutě</v>
          </cell>
        </row>
        <row r="191">
          <cell r="A191">
            <v>11908</v>
          </cell>
          <cell r="B191" t="str">
            <v>Strop Vlašský dvůr chodba. starost</v>
          </cell>
        </row>
        <row r="192">
          <cell r="A192">
            <v>11909</v>
          </cell>
          <cell r="B192" t="str">
            <v>Obřad. síň Vlašský dvůr</v>
          </cell>
        </row>
        <row r="193">
          <cell r="A193">
            <v>11910</v>
          </cell>
          <cell r="B193" t="str">
            <v>Brána Jungmanovo náměstí</v>
          </cell>
        </row>
        <row r="194">
          <cell r="A194">
            <v>11911</v>
          </cell>
          <cell r="B194" t="str">
            <v>Socha sv. Judy Tadeaše u Barbory</v>
          </cell>
        </row>
        <row r="195">
          <cell r="A195">
            <v>11912</v>
          </cell>
          <cell r="B195" t="str">
            <v>Pomník K. H. Borovského</v>
          </cell>
        </row>
        <row r="196">
          <cell r="A196">
            <v>11913</v>
          </cell>
          <cell r="B196" t="str">
            <v>Socha sv. Šebestiána</v>
          </cell>
        </row>
        <row r="197">
          <cell r="A197">
            <v>11914</v>
          </cell>
          <cell r="B197" t="str">
            <v>Socha sv. Bernarda</v>
          </cell>
        </row>
        <row r="198">
          <cell r="A198">
            <v>11915</v>
          </cell>
          <cell r="B198" t="str">
            <v>Socha sv. Anny</v>
          </cell>
        </row>
        <row r="199">
          <cell r="A199">
            <v>11916</v>
          </cell>
          <cell r="B199" t="str">
            <v>Váza brána pivovaru - kopie</v>
          </cell>
        </row>
        <row r="200">
          <cell r="A200">
            <v>11917</v>
          </cell>
          <cell r="B200" t="str">
            <v>Novomlýnská branka s kapličkou</v>
          </cell>
        </row>
        <row r="201">
          <cell r="A201">
            <v>11918</v>
          </cell>
          <cell r="B201" t="str">
            <v>Reliéf Jaroslava Vrchlického</v>
          </cell>
        </row>
        <row r="202">
          <cell r="A202">
            <v>11919</v>
          </cell>
          <cell r="B202" t="str">
            <v>Pomník M.Dačického</v>
          </cell>
        </row>
        <row r="203">
          <cell r="A203">
            <v>11920</v>
          </cell>
          <cell r="B203" t="str">
            <v>Socha sv.Barbory</v>
          </cell>
        </row>
        <row r="204">
          <cell r="A204">
            <v>11921</v>
          </cell>
          <cell r="B204" t="str">
            <v>MŠ Dačického - fasáda</v>
          </cell>
        </row>
        <row r="205">
          <cell r="A205">
            <v>11922</v>
          </cell>
          <cell r="B205" t="str">
            <v>Pilon v Hutích</v>
          </cell>
        </row>
        <row r="206">
          <cell r="A206">
            <v>12001</v>
          </cell>
          <cell r="B206" t="str">
            <v>Budova Radnická 178</v>
          </cell>
        </row>
        <row r="207">
          <cell r="A207">
            <v>12002</v>
          </cell>
          <cell r="B207" t="str">
            <v>Budova Benešova</v>
          </cell>
        </row>
        <row r="208">
          <cell r="A208">
            <v>12003</v>
          </cell>
          <cell r="B208" t="str">
            <v>Čáslav-energie a služby</v>
          </cell>
        </row>
        <row r="209">
          <cell r="A209">
            <v>12004</v>
          </cell>
          <cell r="B209" t="str">
            <v>Hornická (vila)-energie a služ</v>
          </cell>
        </row>
        <row r="210">
          <cell r="A210">
            <v>12005</v>
          </cell>
          <cell r="B210" t="str">
            <v>Komenského-energie a služby</v>
          </cell>
        </row>
        <row r="211">
          <cell r="A211">
            <v>12006</v>
          </cell>
          <cell r="B211" t="str">
            <v>SO Archiv energie a služby</v>
          </cell>
        </row>
        <row r="212">
          <cell r="A212">
            <v>12010</v>
          </cell>
          <cell r="B212" t="str">
            <v>Trebišovská 611-MŠ</v>
          </cell>
        </row>
        <row r="213">
          <cell r="A213">
            <v>13000</v>
          </cell>
          <cell r="B213" t="str">
            <v>Znalecké posudky</v>
          </cell>
        </row>
        <row r="214">
          <cell r="A214">
            <v>13001</v>
          </cell>
          <cell r="B214" t="str">
            <v>Lierova 146</v>
          </cell>
        </row>
        <row r="215">
          <cell r="A215">
            <v>13002</v>
          </cell>
          <cell r="B215" t="str">
            <v>Národního odboje 59</v>
          </cell>
        </row>
        <row r="216">
          <cell r="A216">
            <v>13003</v>
          </cell>
          <cell r="B216" t="str">
            <v>Kremnická 40</v>
          </cell>
        </row>
        <row r="217">
          <cell r="A217">
            <v>13004</v>
          </cell>
          <cell r="B217" t="str">
            <v>Poděbradova 302</v>
          </cell>
        </row>
        <row r="218">
          <cell r="A218">
            <v>13005</v>
          </cell>
          <cell r="B218" t="str">
            <v>Masarykova 302</v>
          </cell>
        </row>
        <row r="219">
          <cell r="A219">
            <v>13006</v>
          </cell>
          <cell r="B219" t="str">
            <v>12 b.j. Puškinská</v>
          </cell>
        </row>
        <row r="220">
          <cell r="A220">
            <v>13007</v>
          </cell>
          <cell r="B220" t="str">
            <v>24 b.j. Benešova</v>
          </cell>
        </row>
        <row r="221">
          <cell r="A221">
            <v>13008</v>
          </cell>
          <cell r="B221" t="str">
            <v>ZŠ Sedlec přestavba</v>
          </cell>
        </row>
        <row r="222">
          <cell r="A222">
            <v>13009</v>
          </cell>
          <cell r="B222" t="str">
            <v>10 b.j. Nemocnice</v>
          </cell>
        </row>
        <row r="223">
          <cell r="A223">
            <v>13010</v>
          </cell>
          <cell r="B223" t="str">
            <v>Dům ul. Sportovců 9</v>
          </cell>
        </row>
        <row r="224">
          <cell r="A224">
            <v>13011</v>
          </cell>
          <cell r="B224" t="str">
            <v>Sedlecká 652</v>
          </cell>
        </row>
        <row r="225">
          <cell r="A225">
            <v>13012</v>
          </cell>
          <cell r="B225" t="str">
            <v>Uhelná 555</v>
          </cell>
        </row>
        <row r="226">
          <cell r="A226">
            <v>13013</v>
          </cell>
          <cell r="B226" t="str">
            <v>Tylova 388</v>
          </cell>
        </row>
        <row r="227">
          <cell r="A227">
            <v>13014</v>
          </cell>
          <cell r="B227" t="str">
            <v>Vojtěšská 31</v>
          </cell>
        </row>
        <row r="228">
          <cell r="A228">
            <v>13015</v>
          </cell>
          <cell r="B228" t="str">
            <v>Mincířská 107</v>
          </cell>
        </row>
        <row r="229">
          <cell r="A229">
            <v>13016</v>
          </cell>
          <cell r="B229" t="str">
            <v>Uhelná 599</v>
          </cell>
        </row>
        <row r="230">
          <cell r="A230">
            <v>13017</v>
          </cell>
          <cell r="B230" t="str">
            <v>Školní 400</v>
          </cell>
        </row>
        <row r="231">
          <cell r="A231">
            <v>13018</v>
          </cell>
          <cell r="B231" t="str">
            <v>Benešova 402</v>
          </cell>
        </row>
        <row r="232">
          <cell r="A232">
            <v>13019</v>
          </cell>
          <cell r="B232" t="str">
            <v>Národního odboje 56</v>
          </cell>
        </row>
        <row r="233">
          <cell r="A233">
            <v>13020</v>
          </cell>
          <cell r="B233" t="str">
            <v>Vladislavova 373</v>
          </cell>
        </row>
        <row r="234">
          <cell r="A234">
            <v>13021</v>
          </cell>
          <cell r="B234" t="str">
            <v>Táborská 71</v>
          </cell>
        </row>
        <row r="235">
          <cell r="A235">
            <v>13071</v>
          </cell>
          <cell r="B235" t="str">
            <v>Benešova ul.</v>
          </cell>
        </row>
        <row r="236">
          <cell r="A236">
            <v>13072</v>
          </cell>
          <cell r="B236" t="str">
            <v>Puškinská I.</v>
          </cell>
        </row>
        <row r="237">
          <cell r="A237">
            <v>13073</v>
          </cell>
          <cell r="B237" t="str">
            <v>Puškinská II.</v>
          </cell>
        </row>
        <row r="238">
          <cell r="A238">
            <v>13075</v>
          </cell>
          <cell r="B238" t="str">
            <v>Puškinská 651-653</v>
          </cell>
        </row>
        <row r="239">
          <cell r="A239">
            <v>13076</v>
          </cell>
          <cell r="B239" t="str">
            <v>Masarykova</v>
          </cell>
        </row>
        <row r="240">
          <cell r="A240">
            <v>13235</v>
          </cell>
          <cell r="B240" t="str">
            <v>Příspěvek. na péči-vratka FV 2007</v>
          </cell>
        </row>
        <row r="241">
          <cell r="A241">
            <v>13306</v>
          </cell>
          <cell r="B241" t="str">
            <v>Soc.dávky HN,ZP-vratka FV 2007</v>
          </cell>
        </row>
        <row r="242">
          <cell r="A242">
            <v>13736</v>
          </cell>
          <cell r="B242" t="str">
            <v>Barborská 30 rozvoj města</v>
          </cell>
        </row>
        <row r="243">
          <cell r="A243">
            <v>13737</v>
          </cell>
          <cell r="B243" t="str">
            <v>Barborská 34</v>
          </cell>
        </row>
        <row r="244">
          <cell r="A244">
            <v>13788</v>
          </cell>
          <cell r="B244" t="str">
            <v>Puškinská 48 b.j.</v>
          </cell>
        </row>
        <row r="245">
          <cell r="A245">
            <v>13800</v>
          </cell>
          <cell r="B245" t="str">
            <v>Trebišovská ubytovna</v>
          </cell>
        </row>
        <row r="246">
          <cell r="A246">
            <v>13801</v>
          </cell>
          <cell r="B246" t="str">
            <v>Ubytovna OKÁL Sedlec,Vítězná</v>
          </cell>
        </row>
        <row r="247">
          <cell r="A247">
            <v>13802</v>
          </cell>
          <cell r="B247" t="str">
            <v>Ubytovna Čáslavská 28</v>
          </cell>
        </row>
        <row r="248">
          <cell r="A248">
            <v>13803</v>
          </cell>
          <cell r="B248" t="str">
            <v>Ubytovna VHS</v>
          </cell>
        </row>
        <row r="249">
          <cell r="A249">
            <v>13851</v>
          </cell>
          <cell r="B249" t="str">
            <v>Benešova 468,9</v>
          </cell>
        </row>
        <row r="250">
          <cell r="A250">
            <v>13911</v>
          </cell>
          <cell r="B250" t="str">
            <v>Holobyty ČSAD</v>
          </cell>
        </row>
        <row r="251">
          <cell r="A251">
            <v>13912</v>
          </cell>
          <cell r="B251" t="str">
            <v>Kollárova 589+590</v>
          </cell>
        </row>
        <row r="252">
          <cell r="A252">
            <v>13913</v>
          </cell>
          <cell r="B252" t="str">
            <v>Bytový dům Malín</v>
          </cell>
        </row>
        <row r="253">
          <cell r="A253">
            <v>14004</v>
          </cell>
          <cell r="B253" t="str">
            <v>Vratka dotace - hasiči</v>
          </cell>
        </row>
        <row r="254">
          <cell r="A254">
            <v>14336</v>
          </cell>
          <cell r="B254" t="str">
            <v>Dotace Kazachstán-vratka FV 07</v>
          </cell>
        </row>
        <row r="255">
          <cell r="A255">
            <v>16001</v>
          </cell>
          <cell r="B255" t="str">
            <v>Hřiště Žižkov</v>
          </cell>
        </row>
        <row r="256">
          <cell r="A256">
            <v>16002</v>
          </cell>
          <cell r="B256" t="str">
            <v>Rekonstrukce hřiště Sparta ČKD</v>
          </cell>
        </row>
        <row r="257">
          <cell r="A257">
            <v>16003</v>
          </cell>
          <cell r="B257" t="str">
            <v>Hřiště TGM oprava</v>
          </cell>
        </row>
        <row r="258">
          <cell r="A258">
            <v>16004</v>
          </cell>
          <cell r="B258" t="str">
            <v>Atletický areál u BIOS</v>
          </cell>
        </row>
        <row r="259">
          <cell r="A259">
            <v>16005</v>
          </cell>
          <cell r="B259" t="str">
            <v>Hřiště Malín</v>
          </cell>
        </row>
        <row r="260">
          <cell r="A260">
            <v>16050</v>
          </cell>
          <cell r="B260" t="str">
            <v>Dětské hřiště Trebišovská</v>
          </cell>
        </row>
        <row r="261">
          <cell r="A261">
            <v>16420</v>
          </cell>
          <cell r="B261" t="str">
            <v>Zimní stadion</v>
          </cell>
        </row>
        <row r="262">
          <cell r="A262">
            <v>16421</v>
          </cell>
          <cell r="B262" t="str">
            <v>Areál Klimeška</v>
          </cell>
        </row>
        <row r="263">
          <cell r="A263">
            <v>16422</v>
          </cell>
          <cell r="B263" t="str">
            <v>ZS tribuny</v>
          </cell>
        </row>
        <row r="264">
          <cell r="A264">
            <v>16428</v>
          </cell>
          <cell r="B264" t="str">
            <v>Amfiteatr Klimeška</v>
          </cell>
        </row>
        <row r="265">
          <cell r="A265">
            <v>16429</v>
          </cell>
          <cell r="B265" t="str">
            <v>Parkoviště Klimeška</v>
          </cell>
        </row>
        <row r="266">
          <cell r="A266">
            <v>16430</v>
          </cell>
          <cell r="B266" t="str">
            <v>Venkovní bazény Klimeška</v>
          </cell>
        </row>
        <row r="267">
          <cell r="A267">
            <v>16431</v>
          </cell>
          <cell r="B267" t="str">
            <v>Terénní úpravy Klimeška</v>
          </cell>
        </row>
        <row r="268">
          <cell r="A268">
            <v>16521</v>
          </cell>
          <cell r="B268" t="str">
            <v>Plavecký bazén</v>
          </cell>
        </row>
        <row r="269">
          <cell r="A269">
            <v>16805</v>
          </cell>
          <cell r="B269" t="str">
            <v>Hala Bios</v>
          </cell>
        </row>
        <row r="270">
          <cell r="A270">
            <v>16806</v>
          </cell>
          <cell r="B270" t="str">
            <v>Středisko Hrabětice</v>
          </cell>
        </row>
        <row r="271">
          <cell r="A271">
            <v>16807</v>
          </cell>
          <cell r="B271" t="str">
            <v>Tělocvična v Sokolovně Malín</v>
          </cell>
        </row>
        <row r="272">
          <cell r="A272">
            <v>17611</v>
          </cell>
          <cell r="B272" t="str">
            <v>Gymnazium</v>
          </cell>
        </row>
        <row r="273">
          <cell r="A273">
            <v>17713</v>
          </cell>
          <cell r="B273" t="str">
            <v>EPC MŠ Benešova I.</v>
          </cell>
        </row>
        <row r="274">
          <cell r="A274">
            <v>17716</v>
          </cell>
          <cell r="B274" t="str">
            <v>EPC MŠ Benešova II.</v>
          </cell>
        </row>
        <row r="275">
          <cell r="A275">
            <v>17722</v>
          </cell>
          <cell r="B275" t="str">
            <v>EPC ZŠ TGM</v>
          </cell>
        </row>
        <row r="276">
          <cell r="A276">
            <v>17723</v>
          </cell>
          <cell r="B276" t="str">
            <v>ZŠ Žižkov</v>
          </cell>
        </row>
        <row r="277">
          <cell r="A277">
            <v>17725</v>
          </cell>
          <cell r="B277" t="str">
            <v>ZŠ Kaňk-rekonstrukce topení</v>
          </cell>
        </row>
        <row r="278">
          <cell r="A278">
            <v>17729</v>
          </cell>
          <cell r="B278" t="str">
            <v>ZvŠ</v>
          </cell>
        </row>
        <row r="279">
          <cell r="A279">
            <v>17738</v>
          </cell>
          <cell r="B279" t="str">
            <v>EPC ŠJ J.Palacha</v>
          </cell>
        </row>
        <row r="280">
          <cell r="A280">
            <v>17750</v>
          </cell>
          <cell r="B280" t="str">
            <v>ZUŠ KH</v>
          </cell>
        </row>
        <row r="281">
          <cell r="A281">
            <v>17757</v>
          </cell>
          <cell r="B281" t="str">
            <v>DM Kremnická 32</v>
          </cell>
        </row>
        <row r="282">
          <cell r="A282">
            <v>17759</v>
          </cell>
          <cell r="B282" t="str">
            <v>EPC ZŠ J. Palacha</v>
          </cell>
        </row>
        <row r="283">
          <cell r="A283">
            <v>18514</v>
          </cell>
          <cell r="B283" t="str">
            <v>Tylovo divadlo</v>
          </cell>
        </row>
        <row r="284">
          <cell r="A284">
            <v>18584</v>
          </cell>
          <cell r="B284" t="str">
            <v>Městská knihovna</v>
          </cell>
        </row>
        <row r="285">
          <cell r="A285">
            <v>18629</v>
          </cell>
          <cell r="B285" t="str">
            <v>Letní scéna-Vlašský dvůr</v>
          </cell>
        </row>
        <row r="286">
          <cell r="A286">
            <v>19556</v>
          </cell>
          <cell r="B286" t="str">
            <v>Dům s peč. službou výstavba</v>
          </cell>
        </row>
        <row r="287">
          <cell r="A287">
            <v>19735</v>
          </cell>
          <cell r="B287" t="str">
            <v>Nemocnice prádelna</v>
          </cell>
        </row>
        <row r="288">
          <cell r="A288">
            <v>19900</v>
          </cell>
          <cell r="B288" t="str">
            <v>Přípojky 12+6 b.j.</v>
          </cell>
        </row>
        <row r="289">
          <cell r="A289">
            <v>19901</v>
          </cell>
          <cell r="B289" t="str">
            <v>Autorský dozor 12 b.j.</v>
          </cell>
        </row>
        <row r="290">
          <cell r="A290">
            <v>19902</v>
          </cell>
          <cell r="B290" t="str">
            <v>Autorský dozor 6 b.j.</v>
          </cell>
        </row>
        <row r="291">
          <cell r="A291">
            <v>19924</v>
          </cell>
          <cell r="B291" t="str">
            <v>Lůžkové. odd. II.etapa. nemocnice rek</v>
          </cell>
        </row>
        <row r="292">
          <cell r="A292">
            <v>19930</v>
          </cell>
          <cell r="B292" t="str">
            <v>12.b.j. hrazeno z půjčky ?</v>
          </cell>
        </row>
        <row r="293">
          <cell r="A293">
            <v>19932</v>
          </cell>
          <cell r="B293" t="str">
            <v>12b.j. byt.</v>
          </cell>
        </row>
        <row r="294">
          <cell r="A294">
            <v>19936</v>
          </cell>
          <cell r="B294" t="str">
            <v>6b.j. byt. dům pro lékaře</v>
          </cell>
        </row>
        <row r="295">
          <cell r="A295">
            <v>20000</v>
          </cell>
          <cell r="B295" t="str">
            <v>Komunikace</v>
          </cell>
        </row>
        <row r="296">
          <cell r="A296">
            <v>20001</v>
          </cell>
          <cell r="B296" t="str">
            <v>Čs. Letců</v>
          </cell>
        </row>
        <row r="297">
          <cell r="A297">
            <v>20002</v>
          </cell>
          <cell r="B297" t="str">
            <v>Na Provaznici</v>
          </cell>
        </row>
        <row r="298">
          <cell r="A298">
            <v>20003</v>
          </cell>
          <cell r="B298" t="str">
            <v>Parkoviště J.Zajíce</v>
          </cell>
        </row>
        <row r="299">
          <cell r="A299">
            <v>20004</v>
          </cell>
          <cell r="B299" t="str">
            <v>KH-Kaňk komunikace</v>
          </cell>
        </row>
        <row r="300">
          <cell r="A300">
            <v>20005</v>
          </cell>
          <cell r="B300" t="str">
            <v>Dukelská</v>
          </cell>
        </row>
        <row r="301">
          <cell r="A301">
            <v>20006</v>
          </cell>
          <cell r="B301" t="str">
            <v>Kudrnova-Fučíkova křižovatka</v>
          </cell>
        </row>
        <row r="302">
          <cell r="A302">
            <v>20007</v>
          </cell>
          <cell r="B302" t="str">
            <v>U Podlipných signalizace</v>
          </cell>
        </row>
        <row r="303">
          <cell r="A303">
            <v>20008</v>
          </cell>
          <cell r="B303" t="str">
            <v>Parkoviště u nemocnice</v>
          </cell>
        </row>
        <row r="304">
          <cell r="A304">
            <v>20009</v>
          </cell>
          <cell r="B304" t="str">
            <v>Křižovatka Vítězná-Zámecká</v>
          </cell>
        </row>
        <row r="305">
          <cell r="A305">
            <v>20010</v>
          </cell>
          <cell r="B305" t="str">
            <v>Sedlec chodník u hřbitova</v>
          </cell>
        </row>
        <row r="306">
          <cell r="A306">
            <v>20011</v>
          </cell>
          <cell r="B306" t="str">
            <v>Autobusové nádraží budova</v>
          </cell>
        </row>
        <row r="307">
          <cell r="A307">
            <v>20012</v>
          </cell>
          <cell r="B307" t="str">
            <v>Česká ulice chodník</v>
          </cell>
        </row>
        <row r="308">
          <cell r="A308">
            <v>20013</v>
          </cell>
          <cell r="B308" t="str">
            <v>Chodník OD Kaufland</v>
          </cell>
        </row>
        <row r="309">
          <cell r="A309">
            <v>20014</v>
          </cell>
          <cell r="B309" t="str">
            <v>Ulice Přibyslavská</v>
          </cell>
        </row>
        <row r="310">
          <cell r="A310">
            <v>20015</v>
          </cell>
          <cell r="B310" t="str">
            <v>Ulice K Nádraží</v>
          </cell>
        </row>
        <row r="311">
          <cell r="A311">
            <v>20016</v>
          </cell>
          <cell r="B311" t="str">
            <v>Lorecká ulice</v>
          </cell>
        </row>
        <row r="312">
          <cell r="A312">
            <v>20017</v>
          </cell>
          <cell r="B312" t="str">
            <v>Kaňk chodníky a opěrné zdi</v>
          </cell>
        </row>
        <row r="313">
          <cell r="A313">
            <v>20018</v>
          </cell>
          <cell r="B313" t="str">
            <v>Kaňk komunikace</v>
          </cell>
        </row>
        <row r="314">
          <cell r="A314">
            <v>20019</v>
          </cell>
          <cell r="B314" t="str">
            <v>Chodník sv. Voršilky</v>
          </cell>
        </row>
        <row r="315">
          <cell r="A315">
            <v>20020</v>
          </cell>
          <cell r="B315" t="str">
            <v>Cyklotrasy-spolupráce</v>
          </cell>
        </row>
        <row r="316">
          <cell r="A316">
            <v>20021</v>
          </cell>
          <cell r="B316" t="str">
            <v>Ulice U Prachárny</v>
          </cell>
        </row>
        <row r="317">
          <cell r="A317">
            <v>20022</v>
          </cell>
          <cell r="B317" t="str">
            <v>Chodník Tylovo divadlo</v>
          </cell>
        </row>
        <row r="318">
          <cell r="A318">
            <v>20023</v>
          </cell>
          <cell r="B318" t="str">
            <v>Ulice Nerudova</v>
          </cell>
        </row>
        <row r="319">
          <cell r="A319">
            <v>20024</v>
          </cell>
          <cell r="B319" t="str">
            <v>Pod sv. Barborou</v>
          </cell>
        </row>
        <row r="320">
          <cell r="A320">
            <v>20025</v>
          </cell>
          <cell r="B320" t="str">
            <v>Ulice Vajdova</v>
          </cell>
        </row>
        <row r="321">
          <cell r="A321">
            <v>20026</v>
          </cell>
          <cell r="B321" t="str">
            <v>Komunikace V Zátiší</v>
          </cell>
        </row>
        <row r="322">
          <cell r="A322">
            <v>20027</v>
          </cell>
          <cell r="B322" t="str">
            <v>Chodník Kouřimská</v>
          </cell>
        </row>
        <row r="323">
          <cell r="A323">
            <v>20028</v>
          </cell>
          <cell r="B323" t="str">
            <v>Komunikace FOXCONN</v>
          </cell>
        </row>
        <row r="324">
          <cell r="A324">
            <v>20029</v>
          </cell>
          <cell r="B324" t="str">
            <v>Veřejné osvětlení U Kola</v>
          </cell>
        </row>
        <row r="325">
          <cell r="A325">
            <v>20030</v>
          </cell>
          <cell r="B325" t="str">
            <v>Chodník Průmyslová škola</v>
          </cell>
        </row>
        <row r="326">
          <cell r="A326">
            <v>20031</v>
          </cell>
          <cell r="B326" t="str">
            <v>Výjezd Kaufland</v>
          </cell>
        </row>
        <row r="327">
          <cell r="A327">
            <v>20032</v>
          </cell>
          <cell r="B327" t="str">
            <v>Komunikace městské sady DPS</v>
          </cell>
        </row>
        <row r="328">
          <cell r="A328">
            <v>20051</v>
          </cell>
          <cell r="B328" t="str">
            <v>Bytová zóna Třešňovka</v>
          </cell>
        </row>
        <row r="329">
          <cell r="A329">
            <v>20052</v>
          </cell>
          <cell r="B329" t="str">
            <v>Bytová zóna U hřbitova</v>
          </cell>
        </row>
        <row r="330">
          <cell r="A330">
            <v>20053</v>
          </cell>
          <cell r="B330" t="str">
            <v>Pozemky Lidka CTP Projekt</v>
          </cell>
        </row>
        <row r="331">
          <cell r="A331">
            <v>20054</v>
          </cell>
          <cell r="B331" t="str">
            <v>Chodník ul. Potoční</v>
          </cell>
        </row>
        <row r="332">
          <cell r="A332">
            <v>20055</v>
          </cell>
          <cell r="B332" t="str">
            <v>Záchytná parkoviště</v>
          </cell>
        </row>
        <row r="333">
          <cell r="A333">
            <v>20100</v>
          </cell>
          <cell r="B333" t="str">
            <v>Info tabule</v>
          </cell>
        </row>
        <row r="334">
          <cell r="A334">
            <v>20407</v>
          </cell>
          <cell r="B334" t="str">
            <v>U tří pávů - park</v>
          </cell>
        </row>
        <row r="335">
          <cell r="A335">
            <v>20410</v>
          </cell>
          <cell r="B335" t="str">
            <v>Karlov průmyslová zóna</v>
          </cell>
        </row>
        <row r="336">
          <cell r="A336">
            <v>20411</v>
          </cell>
          <cell r="B336" t="str">
            <v>Rovina průmyslová zóna</v>
          </cell>
        </row>
        <row r="337">
          <cell r="A337">
            <v>20412</v>
          </cell>
          <cell r="B337" t="str">
            <v>Průmyslová zóna u ČOV</v>
          </cell>
        </row>
        <row r="338">
          <cell r="A338">
            <v>20413</v>
          </cell>
          <cell r="B338" t="str">
            <v>Czech Invest</v>
          </cell>
        </row>
        <row r="339">
          <cell r="A339">
            <v>20628</v>
          </cell>
          <cell r="B339" t="str">
            <v>Park Vlašský dvůr</v>
          </cell>
        </row>
        <row r="340">
          <cell r="A340">
            <v>20629</v>
          </cell>
          <cell r="B340" t="str">
            <v>Zelené město Philip Morris</v>
          </cell>
        </row>
        <row r="341">
          <cell r="A341">
            <v>20630</v>
          </cell>
          <cell r="B341" t="str">
            <v>Park Vlašský dvůr Žižkova brán</v>
          </cell>
        </row>
        <row r="342">
          <cell r="A342">
            <v>25401</v>
          </cell>
          <cell r="B342" t="str">
            <v>Zahradní ulice kanalizace</v>
          </cell>
        </row>
        <row r="343">
          <cell r="A343">
            <v>25402</v>
          </cell>
          <cell r="B343" t="str">
            <v>Žižkov kanalizace</v>
          </cell>
        </row>
        <row r="344">
          <cell r="A344">
            <v>25403</v>
          </cell>
          <cell r="B344" t="str">
            <v>Žižkov kabelové.vedení veřejného.osvětlení.</v>
          </cell>
        </row>
        <row r="345">
          <cell r="A345">
            <v>25405</v>
          </cell>
          <cell r="B345" t="str">
            <v>Benešova výměníková stanice</v>
          </cell>
        </row>
        <row r="346">
          <cell r="A346">
            <v>25406</v>
          </cell>
          <cell r="B346" t="str">
            <v>Lorecký rybník přípojky</v>
          </cell>
        </row>
        <row r="347">
          <cell r="A347">
            <v>25407</v>
          </cell>
          <cell r="B347" t="str">
            <v>VO pivovar-Kaňk</v>
          </cell>
        </row>
        <row r="348">
          <cell r="A348">
            <v>25408</v>
          </cell>
          <cell r="B348" t="str">
            <v>Malín zatrubnění strouhy</v>
          </cell>
        </row>
        <row r="349">
          <cell r="A349">
            <v>25409</v>
          </cell>
          <cell r="B349" t="str">
            <v>Kanalizace Malín Kaňk</v>
          </cell>
        </row>
        <row r="350">
          <cell r="A350">
            <v>25410</v>
          </cell>
          <cell r="B350" t="str">
            <v>Kanalizace Malín Kaňk s VHS</v>
          </cell>
        </row>
        <row r="351">
          <cell r="A351">
            <v>25411</v>
          </cell>
          <cell r="B351" t="str">
            <v>Energetický audit</v>
          </cell>
        </row>
        <row r="352">
          <cell r="A352">
            <v>25412</v>
          </cell>
          <cell r="B352" t="str">
            <v>Kanalizace s VHS kohezní fond</v>
          </cell>
        </row>
        <row r="353">
          <cell r="A353">
            <v>25413</v>
          </cell>
          <cell r="B353" t="str">
            <v>Sídliště Šipší</v>
          </cell>
        </row>
        <row r="354">
          <cell r="A354">
            <v>25414</v>
          </cell>
          <cell r="B354" t="str">
            <v>Pernštejnec kanalizace</v>
          </cell>
        </row>
        <row r="355">
          <cell r="A355">
            <v>25415</v>
          </cell>
          <cell r="B355" t="str">
            <v>Osvětlení přechod Karlov</v>
          </cell>
        </row>
        <row r="356">
          <cell r="A356">
            <v>25450</v>
          </cell>
          <cell r="B356" t="str">
            <v>Kaňk osvětlení</v>
          </cell>
        </row>
        <row r="357">
          <cell r="A357">
            <v>25451</v>
          </cell>
          <cell r="B357" t="str">
            <v>Dešťová kanalizace Kaňk</v>
          </cell>
        </row>
        <row r="358">
          <cell r="A358">
            <v>25452</v>
          </cell>
          <cell r="B358" t="str">
            <v>V.osv. Jakubská ul.</v>
          </cell>
        </row>
        <row r="359">
          <cell r="A359">
            <v>25453</v>
          </cell>
          <cell r="B359" t="str">
            <v>Dar ČP - Skokan roku - bezpečnost provozu</v>
          </cell>
        </row>
        <row r="360">
          <cell r="A360">
            <v>25454</v>
          </cell>
          <cell r="B360" t="str">
            <v>VO Malín - Starokolínkso a Soběslavsko</v>
          </cell>
        </row>
        <row r="361">
          <cell r="A361">
            <v>25455</v>
          </cell>
          <cell r="B361" t="str">
            <v>Centrální propojení kotelen</v>
          </cell>
        </row>
        <row r="362">
          <cell r="A362">
            <v>25456</v>
          </cell>
          <cell r="B362" t="str">
            <v>Osvětlení přechodu Kamenná Stezka</v>
          </cell>
        </row>
        <row r="363">
          <cell r="A363">
            <v>30001</v>
          </cell>
          <cell r="B363" t="str">
            <v>Veřejné prostranství místní</v>
          </cell>
        </row>
        <row r="364">
          <cell r="A364">
            <v>30002</v>
          </cell>
          <cell r="B364" t="str">
            <v>Poplatek z alkoholu</v>
          </cell>
        </row>
        <row r="365">
          <cell r="A365">
            <v>30003</v>
          </cell>
          <cell r="B365" t="str">
            <v>Veřejné prostranství správní Ne</v>
          </cell>
        </row>
        <row r="366">
          <cell r="A366">
            <v>30004</v>
          </cell>
          <cell r="B366" t="str">
            <v>Poplatek ze psů</v>
          </cell>
        </row>
        <row r="367">
          <cell r="A367">
            <v>30005</v>
          </cell>
          <cell r="B367" t="str">
            <v>Poplatek za umístění VHP</v>
          </cell>
        </row>
        <row r="368">
          <cell r="A368">
            <v>30006</v>
          </cell>
          <cell r="B368" t="str">
            <v>Registr silnič.vozidel-předpis</v>
          </cell>
        </row>
        <row r="369">
          <cell r="A369">
            <v>30007</v>
          </cell>
          <cell r="B369" t="str">
            <v>Pokuty - odbor obrany</v>
          </cell>
        </row>
        <row r="370">
          <cell r="A370">
            <v>30008</v>
          </cell>
          <cell r="B370" t="str">
            <v>Poplatek za ubytov. kapacity</v>
          </cell>
        </row>
        <row r="371">
          <cell r="A371">
            <v>30009</v>
          </cell>
          <cell r="B371" t="str">
            <v>Náhr.nákladů na léčení zvířete</v>
          </cell>
        </row>
        <row r="372">
          <cell r="A372">
            <v>30011</v>
          </cell>
          <cell r="B372" t="str">
            <v>ŽP pokuty blokové</v>
          </cell>
        </row>
        <row r="373">
          <cell r="A373">
            <v>30013</v>
          </cell>
          <cell r="B373" t="str">
            <v>Pokuty z VHP</v>
          </cell>
        </row>
        <row r="374">
          <cell r="A374">
            <v>30015</v>
          </cell>
          <cell r="B374" t="str">
            <v>Výtěžek z VHP</v>
          </cell>
        </row>
        <row r="375">
          <cell r="A375">
            <v>30016</v>
          </cell>
          <cell r="B375" t="str">
            <v>Výtěžek ze vstupného</v>
          </cell>
        </row>
        <row r="376">
          <cell r="A376">
            <v>30017</v>
          </cell>
          <cell r="B376" t="str">
            <v>ŽP náklady správního řízení</v>
          </cell>
        </row>
        <row r="377">
          <cell r="A377">
            <v>30018</v>
          </cell>
          <cell r="B377" t="str">
            <v>Státní fond ŽP pokuty</v>
          </cell>
        </row>
        <row r="378">
          <cell r="A378">
            <v>30019</v>
          </cell>
          <cell r="B378" t="str">
            <v>ŽP pokuty v správním řízení Ne</v>
          </cell>
        </row>
        <row r="379">
          <cell r="A379">
            <v>30020</v>
          </cell>
          <cell r="B379" t="str">
            <v>TDO z minulých let</v>
          </cell>
        </row>
        <row r="380">
          <cell r="A380">
            <v>30021</v>
          </cell>
          <cell r="B380" t="str">
            <v>Služby nebytové prostory</v>
          </cell>
        </row>
        <row r="381">
          <cell r="A381">
            <v>30022</v>
          </cell>
          <cell r="B381" t="str">
            <v>Komunální odpad</v>
          </cell>
        </row>
        <row r="382">
          <cell r="A382">
            <v>30023</v>
          </cell>
          <cell r="B382" t="str">
            <v>Odpady - podnikatelé</v>
          </cell>
        </row>
        <row r="383">
          <cell r="A383">
            <v>30025</v>
          </cell>
          <cell r="B383" t="str">
            <v>Dopr.-pokuty SŘ DI - asistence</v>
          </cell>
        </row>
        <row r="384">
          <cell r="A384">
            <v>30026</v>
          </cell>
          <cell r="B384" t="str">
            <v>Doprava pokuty v správ. řízení</v>
          </cell>
        </row>
        <row r="385">
          <cell r="A385">
            <v>30027</v>
          </cell>
          <cell r="B385" t="str">
            <v>Doprava náklady v správ.řízení</v>
          </cell>
        </row>
        <row r="386">
          <cell r="A386">
            <v>30028</v>
          </cell>
          <cell r="B386" t="str">
            <v>Doprava náklady SŘ-DI</v>
          </cell>
        </row>
        <row r="387">
          <cell r="A387">
            <v>30029</v>
          </cell>
          <cell r="B387" t="str">
            <v>Doprava pokuty v SŘ-DI</v>
          </cell>
        </row>
        <row r="388">
          <cell r="A388">
            <v>30030</v>
          </cell>
          <cell r="B388" t="str">
            <v>Byty-nájem</v>
          </cell>
        </row>
        <row r="389">
          <cell r="A389">
            <v>30031</v>
          </cell>
          <cell r="B389" t="str">
            <v>Byty-služby</v>
          </cell>
        </row>
        <row r="390">
          <cell r="A390">
            <v>30032</v>
          </cell>
          <cell r="B390" t="str">
            <v>Pron.nebyty v privat.domech</v>
          </cell>
        </row>
        <row r="391">
          <cell r="A391">
            <v>30033</v>
          </cell>
          <cell r="B391" t="str">
            <v>Úrok z prodlení-pozemky</v>
          </cell>
        </row>
        <row r="392">
          <cell r="A392">
            <v>30034</v>
          </cell>
          <cell r="B392" t="str">
            <v>Smluvní pokuty - nebyty</v>
          </cell>
        </row>
        <row r="393">
          <cell r="A393">
            <v>30035</v>
          </cell>
          <cell r="B393" t="str">
            <v>Pronájem pozemků</v>
          </cell>
        </row>
        <row r="394">
          <cell r="A394">
            <v>30036</v>
          </cell>
          <cell r="B394" t="str">
            <v>Pronáj.nebyt. prostor</v>
          </cell>
        </row>
        <row r="395">
          <cell r="A395">
            <v>30037</v>
          </cell>
          <cell r="B395" t="str">
            <v>Služby nebyty v privat.domech</v>
          </cell>
        </row>
        <row r="396">
          <cell r="A396">
            <v>30038</v>
          </cell>
          <cell r="B396" t="str">
            <v>Prodej pozemků</v>
          </cell>
        </row>
        <row r="397">
          <cell r="A397">
            <v>30039</v>
          </cell>
          <cell r="B397" t="str">
            <v>Pronájem movit.Věcí</v>
          </cell>
        </row>
        <row r="398">
          <cell r="A398">
            <v>30041</v>
          </cell>
          <cell r="B398" t="str">
            <v>Sociální pokuty v SŘ</v>
          </cell>
        </row>
        <row r="399">
          <cell r="A399">
            <v>30042</v>
          </cell>
          <cell r="B399" t="str">
            <v>Sociální pěstounská péče</v>
          </cell>
        </row>
        <row r="400">
          <cell r="A400">
            <v>30043</v>
          </cell>
          <cell r="B400" t="str">
            <v>Sociální příspěvek na výž.dětí</v>
          </cell>
        </row>
        <row r="401">
          <cell r="A401">
            <v>30047</v>
          </cell>
          <cell r="B401" t="str">
            <v>Obytné buňky Neškaredice</v>
          </cell>
        </row>
        <row r="402">
          <cell r="A402">
            <v>30048</v>
          </cell>
          <cell r="B402" t="str">
            <v>Sociální vratky přísp.postižen</v>
          </cell>
        </row>
        <row r="403">
          <cell r="A403">
            <v>30049</v>
          </cell>
          <cell r="B403" t="str">
            <v>Stát.soc.P pokuty v SŘ</v>
          </cell>
        </row>
        <row r="404">
          <cell r="A404">
            <v>30050</v>
          </cell>
          <cell r="B404" t="str">
            <v>Náklady řízení KPP</v>
          </cell>
        </row>
        <row r="405">
          <cell r="A405">
            <v>30051</v>
          </cell>
          <cell r="B405" t="str">
            <v>Pokuty - přestupková komise</v>
          </cell>
        </row>
        <row r="406">
          <cell r="A406">
            <v>30052</v>
          </cell>
          <cell r="B406" t="str">
            <v>Pokuty - stavební úřad</v>
          </cell>
        </row>
        <row r="407">
          <cell r="A407">
            <v>30053</v>
          </cell>
          <cell r="B407" t="str">
            <v>Pokuty - Živnostenský úřad</v>
          </cell>
        </row>
        <row r="408">
          <cell r="A408">
            <v>30054</v>
          </cell>
          <cell r="B408" t="str">
            <v>Pokuty - životní prostředí</v>
          </cell>
        </row>
        <row r="409">
          <cell r="A409">
            <v>30055</v>
          </cell>
          <cell r="B409" t="str">
            <v>Pokuty - MP</v>
          </cell>
        </row>
        <row r="410">
          <cell r="A410">
            <v>30056</v>
          </cell>
          <cell r="B410" t="str">
            <v>Náklady správního řízení ŽÚ</v>
          </cell>
        </row>
        <row r="411">
          <cell r="A411">
            <v>30057</v>
          </cell>
          <cell r="B411" t="str">
            <v>Pokuty MP - asistence firmy</v>
          </cell>
        </row>
        <row r="412">
          <cell r="A412">
            <v>30058</v>
          </cell>
          <cell r="B412" t="str">
            <v>Pokuty ze vstupného</v>
          </cell>
        </row>
        <row r="413">
          <cell r="A413">
            <v>30059</v>
          </cell>
          <cell r="B413" t="str">
            <v>Náklady řízení  - Stavební úřad</v>
          </cell>
        </row>
        <row r="414">
          <cell r="A414">
            <v>30060</v>
          </cell>
          <cell r="B414" t="str">
            <v>Sankční poplatky za znečišťování ovzduší</v>
          </cell>
        </row>
        <row r="415">
          <cell r="A415">
            <v>30061</v>
          </cell>
          <cell r="B415" t="str">
            <v>Živnostenský úřad - pokuty blokové</v>
          </cell>
        </row>
        <row r="416">
          <cell r="A416">
            <v>30062</v>
          </cell>
          <cell r="B416" t="str">
            <v>Správní pokuty v správním řízení</v>
          </cell>
        </row>
        <row r="417">
          <cell r="A417">
            <v>30063</v>
          </cell>
          <cell r="B417" t="str">
            <v>Správní pokuty ve správním řízení - OP+CD</v>
          </cell>
        </row>
        <row r="418">
          <cell r="A418">
            <v>30064</v>
          </cell>
          <cell r="B418" t="str">
            <v>Náklady správní řízení</v>
          </cell>
        </row>
        <row r="419">
          <cell r="A419">
            <v>30069</v>
          </cell>
          <cell r="B419" t="str">
            <v>Živnostenský úřad - pokuty v správním řízení</v>
          </cell>
        </row>
        <row r="420">
          <cell r="A420">
            <v>30071</v>
          </cell>
          <cell r="B420" t="str">
            <v>Splátka bytů Benešova I.</v>
          </cell>
        </row>
        <row r="421">
          <cell r="A421">
            <v>30072</v>
          </cell>
          <cell r="B421" t="str">
            <v>Splátka bytů Puškinská I.</v>
          </cell>
        </row>
        <row r="422">
          <cell r="A422">
            <v>30073</v>
          </cell>
          <cell r="B422" t="str">
            <v>Splátka bytů Puškinská II.</v>
          </cell>
        </row>
        <row r="423">
          <cell r="A423">
            <v>30074</v>
          </cell>
          <cell r="B423" t="str">
            <v>Benešova I. nadstandart</v>
          </cell>
        </row>
        <row r="424">
          <cell r="A424">
            <v>30075</v>
          </cell>
          <cell r="B424" t="str">
            <v>Puškinská II. nadstandart</v>
          </cell>
        </row>
        <row r="425">
          <cell r="A425">
            <v>30076</v>
          </cell>
          <cell r="B425" t="str">
            <v>pí Hradilová-úhr.dluhu stav.spo</v>
          </cell>
        </row>
        <row r="426">
          <cell r="A426">
            <v>30077</v>
          </cell>
          <cell r="B426" t="str">
            <v>Prodej - domy</v>
          </cell>
        </row>
        <row r="427">
          <cell r="A427">
            <v>30079</v>
          </cell>
          <cell r="B427" t="str">
            <v>Sml.o sdružení-Mareček</v>
          </cell>
        </row>
        <row r="428">
          <cell r="A428">
            <v>30081</v>
          </cell>
          <cell r="B428" t="str">
            <v>Vymožené výživné-OU</v>
          </cell>
        </row>
        <row r="429">
          <cell r="A429">
            <v>30083</v>
          </cell>
          <cell r="B429" t="str">
            <v>Pohledávky SM s.r.o. - nájem byty</v>
          </cell>
        </row>
        <row r="430">
          <cell r="A430">
            <v>30084</v>
          </cell>
          <cell r="B430" t="str">
            <v>Pohledávky ostatní</v>
          </cell>
        </row>
        <row r="431">
          <cell r="A431">
            <v>30085</v>
          </cell>
          <cell r="B431" t="str">
            <v>Památková péče - pokuty</v>
          </cell>
        </row>
        <row r="432">
          <cell r="A432">
            <v>30086</v>
          </cell>
          <cell r="B432" t="str">
            <v>Památková péče - náklady řízení</v>
          </cell>
        </row>
        <row r="433">
          <cell r="A433">
            <v>30089</v>
          </cell>
          <cell r="B433" t="str">
            <v>Regionální rozvoj - pokuty v správním řízení</v>
          </cell>
        </row>
        <row r="434">
          <cell r="A434">
            <v>30090</v>
          </cell>
          <cell r="B434" t="str">
            <v>Reg. rozvoj náklady SŘ</v>
          </cell>
        </row>
        <row r="435">
          <cell r="A435">
            <v>30091</v>
          </cell>
          <cell r="B435" t="str">
            <v>KPP - blokové pokuty</v>
          </cell>
        </row>
        <row r="436">
          <cell r="A436">
            <v>30094</v>
          </cell>
          <cell r="B436" t="str">
            <v>Sml.pokuta Inv.inž.a.s.</v>
          </cell>
        </row>
        <row r="437">
          <cell r="A437">
            <v>30098</v>
          </cell>
          <cell r="B437" t="str">
            <v>Pohledávka NsAČ-plat</v>
          </cell>
        </row>
        <row r="438">
          <cell r="A438">
            <v>31006</v>
          </cell>
          <cell r="B438" t="str">
            <v>Svatba</v>
          </cell>
        </row>
        <row r="439">
          <cell r="A439">
            <v>31007</v>
          </cell>
          <cell r="B439" t="str">
            <v>Stavební povolení</v>
          </cell>
        </row>
        <row r="440">
          <cell r="A440">
            <v>31008</v>
          </cell>
          <cell r="B440" t="str">
            <v>Reklama SÚ</v>
          </cell>
        </row>
        <row r="441">
          <cell r="A441">
            <v>31010</v>
          </cell>
          <cell r="B441" t="str">
            <v>Potvrzení, změna přijmení, SHR</v>
          </cell>
        </row>
        <row r="442">
          <cell r="A442">
            <v>31011</v>
          </cell>
          <cell r="B442" t="str">
            <v>Poplatek za stavebbní povolení</v>
          </cell>
        </row>
        <row r="443">
          <cell r="A443">
            <v>31012</v>
          </cell>
          <cell r="B443" t="str">
            <v>Prodloužení splatnosti u VHP</v>
          </cell>
        </row>
        <row r="444">
          <cell r="A444">
            <v>31013</v>
          </cell>
          <cell r="B444" t="str">
            <v>Správní poplatek za výměnu známky VHP</v>
          </cell>
        </row>
        <row r="445">
          <cell r="A445">
            <v>31014</v>
          </cell>
          <cell r="B445" t="str">
            <v>Správní poplatek z VHP</v>
          </cell>
        </row>
        <row r="446">
          <cell r="A446">
            <v>31015</v>
          </cell>
          <cell r="B446" t="str">
            <v>Správní poplatek - potvrzení o bezdlužnosti</v>
          </cell>
        </row>
        <row r="447">
          <cell r="A447">
            <v>31017</v>
          </cell>
          <cell r="B447" t="str">
            <v>Tombola</v>
          </cell>
        </row>
        <row r="448">
          <cell r="A448">
            <v>31018</v>
          </cell>
          <cell r="B448" t="str">
            <v>VHP + přemístění</v>
          </cell>
        </row>
        <row r="449">
          <cell r="A449">
            <v>31019</v>
          </cell>
          <cell r="B449" t="str">
            <v>Kolaudace</v>
          </cell>
        </row>
        <row r="450">
          <cell r="A450">
            <v>31021</v>
          </cell>
          <cell r="B450" t="str">
            <v>Doprava - pokuty blokové</v>
          </cell>
        </row>
        <row r="451">
          <cell r="A451">
            <v>31023</v>
          </cell>
          <cell r="B451" t="str">
            <v>Rybářské lístky</v>
          </cell>
        </row>
        <row r="452">
          <cell r="A452">
            <v>31024</v>
          </cell>
          <cell r="B452" t="str">
            <v>Ověření podpisu</v>
          </cell>
        </row>
        <row r="453">
          <cell r="A453">
            <v>31025</v>
          </cell>
          <cell r="B453" t="str">
            <v>Opisy a ověření tiskopisů</v>
          </cell>
        </row>
        <row r="454">
          <cell r="A454">
            <v>31026</v>
          </cell>
          <cell r="B454" t="str">
            <v>Vystavení RL, OL, ÚL</v>
          </cell>
        </row>
        <row r="455">
          <cell r="A455">
            <v>31027</v>
          </cell>
          <cell r="B455" t="str">
            <v>Potvrzení o pobytu</v>
          </cell>
        </row>
        <row r="456">
          <cell r="A456">
            <v>31028</v>
          </cell>
          <cell r="B456" t="str">
            <v>Změna užívání</v>
          </cell>
        </row>
        <row r="457">
          <cell r="A457">
            <v>31029</v>
          </cell>
          <cell r="B457" t="str">
            <v>Demolice</v>
          </cell>
        </row>
        <row r="458">
          <cell r="A458">
            <v>31030</v>
          </cell>
          <cell r="B458" t="str">
            <v>Územní rozhodnutí</v>
          </cell>
        </row>
        <row r="459">
          <cell r="A459">
            <v>31031</v>
          </cell>
          <cell r="B459" t="str">
            <v>Kopírování</v>
          </cell>
        </row>
        <row r="460">
          <cell r="A460">
            <v>31032</v>
          </cell>
          <cell r="B460" t="str">
            <v>Pronájem varhan - svatby</v>
          </cell>
        </row>
        <row r="461">
          <cell r="A461">
            <v>31033</v>
          </cell>
          <cell r="B461" t="str">
            <v>Potvrzení geometrického plánu</v>
          </cell>
        </row>
        <row r="462">
          <cell r="A462">
            <v>31034</v>
          </cell>
          <cell r="B462" t="str">
            <v>Místní šetření</v>
          </cell>
        </row>
        <row r="463">
          <cell r="A463">
            <v>31035</v>
          </cell>
          <cell r="B463" t="str">
            <v>Pronájem prostor Vl.dvora</v>
          </cell>
        </row>
        <row r="464">
          <cell r="A464">
            <v>31036</v>
          </cell>
          <cell r="B464" t="str">
            <v>Výpis z katastru nemovitostí</v>
          </cell>
        </row>
        <row r="465">
          <cell r="A465">
            <v>31037</v>
          </cell>
          <cell r="B465" t="str">
            <v>Prodej domů</v>
          </cell>
        </row>
        <row r="466">
          <cell r="A466">
            <v>31038</v>
          </cell>
          <cell r="B466" t="str">
            <v>Nahlížení do matrik</v>
          </cell>
        </row>
        <row r="467">
          <cell r="A467">
            <v>31039</v>
          </cell>
          <cell r="B467" t="str">
            <v>Posečkání platby</v>
          </cell>
        </row>
        <row r="468">
          <cell r="A468">
            <v>31040</v>
          </cell>
          <cell r="B468" t="str">
            <v>Provedení identifikace osob</v>
          </cell>
        </row>
        <row r="469">
          <cell r="A469">
            <v>31041</v>
          </cell>
          <cell r="B469" t="str">
            <v>Náhr.za pozemky Nové Dvory</v>
          </cell>
        </row>
        <row r="470">
          <cell r="A470">
            <v>31042</v>
          </cell>
          <cell r="B470" t="str">
            <v>Věcné břemeno na vl.pozemku</v>
          </cell>
        </row>
        <row r="471">
          <cell r="A471">
            <v>31043</v>
          </cell>
          <cell r="B471" t="str">
            <v>Správní poplatek - výpis Seznam dodavatelů</v>
          </cell>
        </row>
        <row r="472">
          <cell r="A472">
            <v>31044</v>
          </cell>
          <cell r="B472" t="str">
            <v>Správní poplatek -  výpis z Registru autovraků</v>
          </cell>
        </row>
        <row r="473">
          <cell r="A473">
            <v>31045</v>
          </cell>
          <cell r="B473" t="str">
            <v>Správní poplatek -  výpis bodů řidičů</v>
          </cell>
        </row>
        <row r="474">
          <cell r="A474">
            <v>31046</v>
          </cell>
          <cell r="B474" t="str">
            <v>Přihlášení k trvalému pobytu</v>
          </cell>
        </row>
        <row r="475">
          <cell r="A475">
            <v>31047</v>
          </cell>
          <cell r="B475" t="str">
            <v>Správní poplatek - výpis u Obch.rejstříku</v>
          </cell>
        </row>
        <row r="476">
          <cell r="A476">
            <v>31048</v>
          </cell>
          <cell r="B476" t="str">
            <v>Správní poplatek - výpis z Rejstříku trest</v>
          </cell>
        </row>
        <row r="477">
          <cell r="A477">
            <v>31049</v>
          </cell>
          <cell r="B477" t="str">
            <v>Správní poplatek - výpis z Živnostenksého rejstříku</v>
          </cell>
        </row>
        <row r="478">
          <cell r="A478">
            <v>31050</v>
          </cell>
          <cell r="B478" t="str">
            <v>DS - nové příspupové údaje - jde o příjem MVČR</v>
          </cell>
        </row>
        <row r="479">
          <cell r="A479">
            <v>31051</v>
          </cell>
          <cell r="B479" t="str">
            <v>Správní poplatek - autorizovaná konverze (Czech Point)</v>
          </cell>
        </row>
        <row r="480">
          <cell r="A480">
            <v>31065</v>
          </cell>
          <cell r="B480" t="str">
            <v>Správa pokuty blokové OP</v>
          </cell>
        </row>
        <row r="481">
          <cell r="A481">
            <v>31066</v>
          </cell>
          <cell r="B481" t="str">
            <v>Správa pokuty blokové CD</v>
          </cell>
        </row>
        <row r="482">
          <cell r="A482">
            <v>31101</v>
          </cell>
          <cell r="B482" t="str">
            <v>Lovecké lístky</v>
          </cell>
        </row>
        <row r="483">
          <cell r="A483">
            <v>31102</v>
          </cell>
          <cell r="B483" t="str">
            <v>Licence lesního hospodáře</v>
          </cell>
        </row>
        <row r="484">
          <cell r="A484">
            <v>31103</v>
          </cell>
          <cell r="B484" t="str">
            <v>Životní místní šetření</v>
          </cell>
        </row>
        <row r="485">
          <cell r="A485">
            <v>31104</v>
          </cell>
          <cell r="B485" t="str">
            <v>Životní stavební povolení</v>
          </cell>
        </row>
        <row r="486">
          <cell r="A486">
            <v>31105</v>
          </cell>
          <cell r="B486" t="str">
            <v>Životní vystavení náhr. doklad</v>
          </cell>
        </row>
        <row r="487">
          <cell r="A487">
            <v>31106</v>
          </cell>
          <cell r="B487" t="str">
            <v>Upuštění od třídění odpadů</v>
          </cell>
        </row>
        <row r="488">
          <cell r="A488">
            <v>31122</v>
          </cell>
          <cell r="B488" t="str">
            <v>DP PO obce (vlastní)</v>
          </cell>
        </row>
        <row r="489">
          <cell r="A489">
            <v>31140</v>
          </cell>
          <cell r="B489" t="str">
            <v>Správ.popl. znovuvydání OP</v>
          </cell>
        </row>
        <row r="490">
          <cell r="A490">
            <v>31141</v>
          </cell>
          <cell r="B490" t="str">
            <v>Občanské průkazy</v>
          </cell>
        </row>
        <row r="491">
          <cell r="A491">
            <v>31142</v>
          </cell>
          <cell r="B491" t="str">
            <v>Cestovní doklady</v>
          </cell>
        </row>
        <row r="492">
          <cell r="A492">
            <v>31143</v>
          </cell>
          <cell r="B492" t="str">
            <v>Evidence obyvatelstva</v>
          </cell>
        </row>
        <row r="493">
          <cell r="A493">
            <v>31144</v>
          </cell>
          <cell r="B493" t="str">
            <v>Potvrzení ze sbírky listin-mat</v>
          </cell>
        </row>
        <row r="494">
          <cell r="A494">
            <v>31200</v>
          </cell>
          <cell r="B494" t="str">
            <v>Doprava informace ze spisů</v>
          </cell>
        </row>
        <row r="495">
          <cell r="A495">
            <v>31201</v>
          </cell>
          <cell r="B495" t="str">
            <v>Doprava staveb. povolení</v>
          </cell>
        </row>
        <row r="496">
          <cell r="A496">
            <v>31202</v>
          </cell>
          <cell r="B496" t="str">
            <v>Doprava vydání licence</v>
          </cell>
        </row>
        <row r="497">
          <cell r="A497">
            <v>31203</v>
          </cell>
          <cell r="B497" t="str">
            <v>Doprava zvláštní už. silnic</v>
          </cell>
        </row>
        <row r="498">
          <cell r="A498">
            <v>31204</v>
          </cell>
          <cell r="B498" t="str">
            <v>Doprava - pro cizí potřeby</v>
          </cell>
        </row>
        <row r="499">
          <cell r="A499">
            <v>31205</v>
          </cell>
          <cell r="B499" t="str">
            <v>Doprava osvědčení o způsobilos</v>
          </cell>
        </row>
        <row r="500">
          <cell r="A500">
            <v>31206</v>
          </cell>
          <cell r="B500" t="str">
            <v>Doprava průkaz taxislužby</v>
          </cell>
        </row>
        <row r="501">
          <cell r="A501">
            <v>31207</v>
          </cell>
          <cell r="B501" t="str">
            <v>Doprava připojení poz. komunik</v>
          </cell>
        </row>
        <row r="502">
          <cell r="A502">
            <v>31208</v>
          </cell>
          <cell r="B502" t="str">
            <v>Doprava vydání náhr. ŘP</v>
          </cell>
        </row>
        <row r="503">
          <cell r="A503">
            <v>31209</v>
          </cell>
          <cell r="B503" t="str">
            <v>Doprava vydání ŘP</v>
          </cell>
        </row>
        <row r="504">
          <cell r="A504">
            <v>31210</v>
          </cell>
          <cell r="B504" t="str">
            <v>Doprava registr řidičů</v>
          </cell>
        </row>
        <row r="505">
          <cell r="A505">
            <v>31211</v>
          </cell>
          <cell r="B505" t="str">
            <v>Doprava registr silničních vozidel</v>
          </cell>
        </row>
        <row r="506">
          <cell r="A506">
            <v>31212</v>
          </cell>
          <cell r="B506" t="str">
            <v>Zkouška OZ řízení mot. vozidel</v>
          </cell>
        </row>
        <row r="507">
          <cell r="A507">
            <v>31213</v>
          </cell>
          <cell r="B507" t="str">
            <v>Poplatek za převod vozidel - příjem SFŽP</v>
          </cell>
        </row>
        <row r="508">
          <cell r="A508">
            <v>31391</v>
          </cell>
          <cell r="B508" t="str">
            <v>Recepty a žád.na návyk.látky</v>
          </cell>
        </row>
        <row r="509">
          <cell r="A509">
            <v>31401</v>
          </cell>
          <cell r="B509" t="str">
            <v>Soc. vystavení průkazu ZTP</v>
          </cell>
        </row>
        <row r="510">
          <cell r="A510">
            <v>31431</v>
          </cell>
          <cell r="B510" t="str">
            <v>Zavážení koupaliště</v>
          </cell>
        </row>
        <row r="511">
          <cell r="A511">
            <v>31542</v>
          </cell>
          <cell r="B511" t="str">
            <v>Čáslav-pěst.péče</v>
          </cell>
        </row>
        <row r="512">
          <cell r="A512">
            <v>31591</v>
          </cell>
          <cell r="B512" t="str">
            <v>Správa informace 106/1999</v>
          </cell>
        </row>
        <row r="513">
          <cell r="A513">
            <v>31601</v>
          </cell>
          <cell r="B513" t="str">
            <v>ŽÚ registrace</v>
          </cell>
        </row>
        <row r="514">
          <cell r="A514">
            <v>31628</v>
          </cell>
          <cell r="B514" t="str">
            <v>Převod DP FO 30% (výlučná)</v>
          </cell>
        </row>
        <row r="515">
          <cell r="A515">
            <v>31636</v>
          </cell>
          <cell r="B515" t="str">
            <v>CU-vynětí z lesního fondu</v>
          </cell>
        </row>
        <row r="516">
          <cell r="A516">
            <v>31652</v>
          </cell>
          <cell r="B516" t="str">
            <v>Převod DP FO 20,59% (sdílená)</v>
          </cell>
        </row>
        <row r="517">
          <cell r="A517">
            <v>31660</v>
          </cell>
          <cell r="B517" t="str">
            <v>Převod DP FO zvl.sazba sdílená</v>
          </cell>
        </row>
        <row r="518">
          <cell r="A518">
            <v>31679</v>
          </cell>
          <cell r="B518" t="str">
            <v>Převod DPH</v>
          </cell>
        </row>
        <row r="519">
          <cell r="A519">
            <v>31700</v>
          </cell>
          <cell r="B519" t="str">
            <v>Za služby od obcí CZECH POINT</v>
          </cell>
        </row>
        <row r="520">
          <cell r="A520">
            <v>31701</v>
          </cell>
          <cell r="B520" t="str">
            <v>Správní osvědčení o stát.obč.</v>
          </cell>
        </row>
        <row r="521">
          <cell r="A521">
            <v>31709</v>
          </cell>
          <cell r="B521" t="str">
            <v>Tel. poplatky správa</v>
          </cell>
        </row>
        <row r="522">
          <cell r="A522">
            <v>31710</v>
          </cell>
          <cell r="B522" t="str">
            <v>Telefony MŠ</v>
          </cell>
        </row>
        <row r="523">
          <cell r="A523">
            <v>31720</v>
          </cell>
          <cell r="B523" t="str">
            <v>Telefony ZŠ</v>
          </cell>
        </row>
        <row r="524">
          <cell r="A524">
            <v>31723</v>
          </cell>
          <cell r="B524" t="str">
            <v>Zbytky ŠJ</v>
          </cell>
        </row>
        <row r="525">
          <cell r="A525">
            <v>31724</v>
          </cell>
          <cell r="B525" t="str">
            <v>Telefony ŠJ</v>
          </cell>
        </row>
        <row r="526">
          <cell r="A526">
            <v>31729</v>
          </cell>
          <cell r="B526" t="str">
            <v>Telefony ZvŠ</v>
          </cell>
        </row>
        <row r="527">
          <cell r="A527">
            <v>31751</v>
          </cell>
          <cell r="B527" t="str">
            <v>Telefony ZUŠ</v>
          </cell>
        </row>
        <row r="528">
          <cell r="A528">
            <v>31760</v>
          </cell>
          <cell r="B528" t="str">
            <v>Automaty od TS</v>
          </cell>
        </row>
        <row r="529">
          <cell r="A529">
            <v>31770</v>
          </cell>
          <cell r="B529" t="str">
            <v>Parkovací karty MO,automaty</v>
          </cell>
        </row>
        <row r="530">
          <cell r="A530">
            <v>31790</v>
          </cell>
          <cell r="B530" t="str">
            <v>Prodej nemovitostí</v>
          </cell>
        </row>
        <row r="531">
          <cell r="A531">
            <v>31791</v>
          </cell>
          <cell r="B531" t="str">
            <v>Vyúč.služeb-z min. let</v>
          </cell>
        </row>
        <row r="532">
          <cell r="A532">
            <v>31800</v>
          </cell>
          <cell r="B532" t="str">
            <v>Kompenzace Dům s peč. sl.</v>
          </cell>
        </row>
        <row r="533">
          <cell r="A533">
            <v>31900</v>
          </cell>
          <cell r="B533" t="str">
            <v>Bud.spol.vlast.-příjmy za služ</v>
          </cell>
        </row>
        <row r="534">
          <cell r="A534">
            <v>32041</v>
          </cell>
          <cell r="B534" t="str">
            <v>Prodej byty Benešova</v>
          </cell>
        </row>
        <row r="535">
          <cell r="A535">
            <v>32042</v>
          </cell>
          <cell r="B535" t="str">
            <v>Prodej byty Puškinská I.</v>
          </cell>
        </row>
        <row r="536">
          <cell r="A536">
            <v>32043</v>
          </cell>
          <cell r="B536" t="str">
            <v>Prodej byty Puškinská II.</v>
          </cell>
        </row>
        <row r="537">
          <cell r="A537">
            <v>32612</v>
          </cell>
          <cell r="B537" t="str">
            <v>Převod DP FO záv.č.(sdílená)</v>
          </cell>
        </row>
        <row r="538">
          <cell r="A538">
            <v>32727</v>
          </cell>
          <cell r="B538" t="str">
            <v>Převod DPO do ROB</v>
          </cell>
        </row>
        <row r="539">
          <cell r="A539">
            <v>34634</v>
          </cell>
          <cell r="B539" t="str">
            <v>Přev.DO FO záv.č.1,5%stát.v.</v>
          </cell>
        </row>
        <row r="540">
          <cell r="A540">
            <v>36330</v>
          </cell>
          <cell r="B540" t="str">
            <v>Převod daně z nemovitosti</v>
          </cell>
        </row>
        <row r="541">
          <cell r="A541">
            <v>36410</v>
          </cell>
          <cell r="B541" t="str">
            <v>Převod DP PO bez obce</v>
          </cell>
        </row>
        <row r="542">
          <cell r="A542">
            <v>36760</v>
          </cell>
          <cell r="B542" t="str">
            <v>Převod za odnětí půdy</v>
          </cell>
        </row>
        <row r="543">
          <cell r="A543">
            <v>38801</v>
          </cell>
          <cell r="B543" t="str">
            <v>Voda</v>
          </cell>
        </row>
        <row r="544">
          <cell r="A544">
            <v>38802</v>
          </cell>
          <cell r="B544" t="str">
            <v>Elektřina</v>
          </cell>
        </row>
        <row r="545">
          <cell r="A545">
            <v>38803</v>
          </cell>
          <cell r="B545" t="str">
            <v>Zemní plyn</v>
          </cell>
        </row>
        <row r="546">
          <cell r="A546">
            <v>38804</v>
          </cell>
          <cell r="B546" t="str">
            <v>Teplo</v>
          </cell>
        </row>
        <row r="547">
          <cell r="A547">
            <v>38805</v>
          </cell>
          <cell r="B547" t="str">
            <v>Teplá voda</v>
          </cell>
        </row>
        <row r="548">
          <cell r="A548">
            <v>39001</v>
          </cell>
          <cell r="B548" t="str">
            <v>Nájem filmaři</v>
          </cell>
        </row>
        <row r="549">
          <cell r="A549">
            <v>39002</v>
          </cell>
          <cell r="B549" t="str">
            <v>Filmaři-popl.za vyřízenížádost</v>
          </cell>
        </row>
        <row r="550">
          <cell r="A550">
            <v>39020</v>
          </cell>
          <cell r="B550" t="str">
            <v>Příjmy pro R správní pokuty</v>
          </cell>
        </row>
        <row r="551">
          <cell r="A551">
            <v>39021</v>
          </cell>
          <cell r="B551" t="str">
            <v>Přijmy pro R správní poplatky</v>
          </cell>
        </row>
        <row r="552">
          <cell r="A552">
            <v>39060</v>
          </cell>
          <cell r="B552" t="str">
            <v>Nájem kolumbární schránky</v>
          </cell>
        </row>
        <row r="553">
          <cell r="A553">
            <v>39061</v>
          </cell>
          <cell r="B553" t="str">
            <v>Pronájem hrobového místa</v>
          </cell>
        </row>
        <row r="554">
          <cell r="A554">
            <v>39078</v>
          </cell>
          <cell r="B554" t="str">
            <v>Ubytovny Vítězná-nájem</v>
          </cell>
        </row>
        <row r="555">
          <cell r="A555">
            <v>39082</v>
          </cell>
          <cell r="B555" t="str">
            <v>Nájem ubytovna Čáslavská</v>
          </cell>
        </row>
        <row r="556">
          <cell r="A556">
            <v>39095</v>
          </cell>
          <cell r="B556" t="str">
            <v>BIOS hala-nájem</v>
          </cell>
        </row>
        <row r="557">
          <cell r="A557">
            <v>39096</v>
          </cell>
          <cell r="B557" t="str">
            <v>Ubytovna Trebišovská</v>
          </cell>
        </row>
        <row r="558">
          <cell r="A558">
            <v>39097</v>
          </cell>
          <cell r="B558" t="str">
            <v>Ubytovna VHS</v>
          </cell>
        </row>
        <row r="559">
          <cell r="A559">
            <v>39098</v>
          </cell>
          <cell r="B559" t="str">
            <v>Příspěvek SVJ na měření tepla</v>
          </cell>
        </row>
        <row r="560">
          <cell r="A560">
            <v>39204</v>
          </cell>
          <cell r="B560" t="str">
            <v>Ztráta psí známky</v>
          </cell>
        </row>
        <row r="561">
          <cell r="A561">
            <v>39230</v>
          </cell>
          <cell r="B561" t="str">
            <v>Přijmy pro R doprava pokuty</v>
          </cell>
        </row>
        <row r="562">
          <cell r="A562">
            <v>39231</v>
          </cell>
          <cell r="B562" t="str">
            <v>Přijmy pro R dopravní poplatky</v>
          </cell>
        </row>
        <row r="563">
          <cell r="A563">
            <v>39250</v>
          </cell>
          <cell r="B563" t="str">
            <v>Přijmy pro R životní poplatky</v>
          </cell>
        </row>
        <row r="564">
          <cell r="A564">
            <v>39277</v>
          </cell>
          <cell r="B564" t="str">
            <v>Splátky půjček-OU</v>
          </cell>
        </row>
        <row r="565">
          <cell r="A565">
            <v>39501</v>
          </cell>
          <cell r="B565" t="str">
            <v>Ekokom za tříděné odpady</v>
          </cell>
        </row>
        <row r="566">
          <cell r="A566">
            <v>39659</v>
          </cell>
          <cell r="B566" t="str">
            <v>Inzerce v K. listech</v>
          </cell>
        </row>
        <row r="567">
          <cell r="A567">
            <v>39701</v>
          </cell>
          <cell r="B567" t="str">
            <v>ČSAD nádraží nájem</v>
          </cell>
        </row>
        <row r="568">
          <cell r="A568">
            <v>39734</v>
          </cell>
          <cell r="B568" t="str">
            <v>Zrušená PO Nemocnice</v>
          </cell>
        </row>
        <row r="569">
          <cell r="A569">
            <v>39788</v>
          </cell>
          <cell r="B569" t="str">
            <v>Byty - neprivatizované</v>
          </cell>
        </row>
        <row r="570">
          <cell r="A570">
            <v>39792</v>
          </cell>
          <cell r="B570" t="str">
            <v>Nájemné a služby byty z s.r.o.</v>
          </cell>
        </row>
        <row r="571">
          <cell r="A571">
            <v>39793</v>
          </cell>
          <cell r="B571" t="str">
            <v>Vydražený nájem</v>
          </cell>
        </row>
        <row r="572">
          <cell r="A572">
            <v>39794</v>
          </cell>
          <cell r="B572" t="str">
            <v>Prodej bytů privatizace I.</v>
          </cell>
        </row>
        <row r="573">
          <cell r="A573">
            <v>39795</v>
          </cell>
          <cell r="B573" t="str">
            <v>Prodej bytů privatizace II.</v>
          </cell>
        </row>
        <row r="574">
          <cell r="A574">
            <v>39796</v>
          </cell>
          <cell r="B574" t="str">
            <v>Prodej bytů VŘ</v>
          </cell>
        </row>
        <row r="575">
          <cell r="A575">
            <v>39799</v>
          </cell>
          <cell r="B575" t="str">
            <v>Prodej nebytových prostor</v>
          </cell>
        </row>
        <row r="576">
          <cell r="A576">
            <v>39801</v>
          </cell>
          <cell r="B576" t="str">
            <v>Ubytovna OKÁL Sedlec</v>
          </cell>
        </row>
        <row r="577">
          <cell r="A577">
            <v>39900</v>
          </cell>
          <cell r="B577" t="str">
            <v>Popl.za proj.dok. k výb.řízení</v>
          </cell>
        </row>
        <row r="578">
          <cell r="A578">
            <v>39999</v>
          </cell>
          <cell r="B578" t="str">
            <v>Příjmy z reklamy</v>
          </cell>
        </row>
        <row r="579">
          <cell r="A579">
            <v>41003</v>
          </cell>
          <cell r="B579" t="str">
            <v>OS DIGNO-pomoc zdr. postiženým</v>
          </cell>
        </row>
        <row r="580">
          <cell r="A580">
            <v>41004</v>
          </cell>
          <cell r="B580" t="str">
            <v>Svaz postiž. civ. chorobami ČR</v>
          </cell>
        </row>
        <row r="581">
          <cell r="A581">
            <v>41005</v>
          </cell>
          <cell r="B581" t="str">
            <v>Alter ego KH institut vzdělává</v>
          </cell>
        </row>
        <row r="582">
          <cell r="A582">
            <v>41006</v>
          </cell>
          <cell r="B582" t="str">
            <v>BookCheck obč. sdružení</v>
          </cell>
        </row>
        <row r="583">
          <cell r="A583">
            <v>41007</v>
          </cell>
          <cell r="B583" t="str">
            <v>CT nemocnice</v>
          </cell>
        </row>
        <row r="584">
          <cell r="A584">
            <v>41008</v>
          </cell>
          <cell r="B584" t="str">
            <v>CT nemocnice stav. práce</v>
          </cell>
        </row>
        <row r="585">
          <cell r="A585">
            <v>41009</v>
          </cell>
          <cell r="B585" t="str">
            <v>Svaz post. CvCH Malín 80</v>
          </cell>
        </row>
        <row r="586">
          <cell r="A586">
            <v>41010</v>
          </cell>
          <cell r="B586" t="str">
            <v>Člověk v tísni při ČT</v>
          </cell>
        </row>
        <row r="587">
          <cell r="A587">
            <v>41011</v>
          </cell>
          <cell r="B587" t="str">
            <v>Česká katolická charita</v>
          </cell>
        </row>
        <row r="588">
          <cell r="A588">
            <v>41012</v>
          </cell>
          <cell r="B588" t="str">
            <v>Hand for Help ČR Liberec</v>
          </cell>
        </row>
        <row r="589">
          <cell r="A589">
            <v>41013</v>
          </cell>
          <cell r="B589" t="str">
            <v>Chrysos 26 Hradec Králové</v>
          </cell>
        </row>
        <row r="590">
          <cell r="A590">
            <v>41014</v>
          </cell>
          <cell r="B590" t="str">
            <v>Svaz post. CvCH OV</v>
          </cell>
        </row>
        <row r="591">
          <cell r="A591">
            <v>41015</v>
          </cell>
          <cell r="B591" t="str">
            <v>Asistence o.s.Praha</v>
          </cell>
        </row>
        <row r="592">
          <cell r="A592">
            <v>41016</v>
          </cell>
          <cell r="B592" t="str">
            <v>Cesta životem bez bariér OS</v>
          </cell>
        </row>
        <row r="593">
          <cell r="A593">
            <v>41017</v>
          </cell>
          <cell r="B593" t="str">
            <v>Rytmus-Benešov, o.p.s.</v>
          </cell>
        </row>
        <row r="594">
          <cell r="A594">
            <v>41271</v>
          </cell>
          <cell r="B594" t="str">
            <v>Příspěvky pro soc. odbor</v>
          </cell>
        </row>
        <row r="595">
          <cell r="A595">
            <v>41534</v>
          </cell>
          <cell r="B595" t="str">
            <v>Nadační fond - "Dítě a kůň"</v>
          </cell>
        </row>
        <row r="596">
          <cell r="A596">
            <v>41535</v>
          </cell>
          <cell r="B596" t="str">
            <v>Sdružení - Dítě a kůň</v>
          </cell>
        </row>
        <row r="597">
          <cell r="A597">
            <v>41536</v>
          </cell>
          <cell r="B597" t="str">
            <v>Stáj Rozárka obč.sdr. Bykáň</v>
          </cell>
        </row>
        <row r="598">
          <cell r="A598">
            <v>41537</v>
          </cell>
          <cell r="B598" t="str">
            <v>OROS oblastmí rada ČMOS</v>
          </cell>
        </row>
        <row r="599">
          <cell r="A599">
            <v>41544</v>
          </cell>
          <cell r="B599" t="str">
            <v>Oblastní charita</v>
          </cell>
        </row>
        <row r="600">
          <cell r="A600">
            <v>41545</v>
          </cell>
          <cell r="B600" t="str">
            <v>Unie ROSCA</v>
          </cell>
        </row>
        <row r="601">
          <cell r="A601">
            <v>41546</v>
          </cell>
          <cell r="B601" t="str">
            <v>Barvířův dům</v>
          </cell>
        </row>
        <row r="602">
          <cell r="A602">
            <v>41552</v>
          </cell>
          <cell r="B602" t="str">
            <v>Sluníčko asoci.rod.a zdr.post.</v>
          </cell>
        </row>
        <row r="603">
          <cell r="A603">
            <v>41553</v>
          </cell>
          <cell r="B603" t="str">
            <v>Základní kynologická organizace - organizační jednotka sdružení</v>
          </cell>
        </row>
        <row r="604">
          <cell r="A604">
            <v>41554</v>
          </cell>
          <cell r="B604" t="str">
            <v>Club Deportivo, o.s.</v>
          </cell>
        </row>
        <row r="605">
          <cell r="A605">
            <v>41555</v>
          </cell>
          <cell r="B605" t="str">
            <v>Oblastní charita Červený Kostelec - Hospic Anežky České</v>
          </cell>
        </row>
        <row r="606">
          <cell r="A606">
            <v>41576</v>
          </cell>
          <cell r="B606" t="str">
            <v>Fond stáří</v>
          </cell>
        </row>
        <row r="607">
          <cell r="A607">
            <v>41592</v>
          </cell>
          <cell r="B607" t="str">
            <v>OV svazu těles. postižených</v>
          </cell>
        </row>
        <row r="608">
          <cell r="A608">
            <v>41593</v>
          </cell>
          <cell r="B608" t="str">
            <v>Hum. sdruž. "Život 90"</v>
          </cell>
        </row>
        <row r="609">
          <cell r="A609">
            <v>41598</v>
          </cell>
          <cell r="B609" t="str">
            <v>Pedagogicko psych. poradna</v>
          </cell>
        </row>
        <row r="610">
          <cell r="A610">
            <v>41599</v>
          </cell>
          <cell r="B610" t="str">
            <v>Sdružení Romů</v>
          </cell>
        </row>
        <row r="611">
          <cell r="A611">
            <v>41600</v>
          </cell>
          <cell r="B611" t="str">
            <v>Romské sdružení obč.porozumění</v>
          </cell>
        </row>
        <row r="612">
          <cell r="A612">
            <v>41602</v>
          </cell>
          <cell r="B612" t="str">
            <v>Český Červený kříž</v>
          </cell>
        </row>
        <row r="613">
          <cell r="A613">
            <v>41614</v>
          </cell>
          <cell r="B613" t="str">
            <v>Obč. sdružení Povídej</v>
          </cell>
        </row>
        <row r="614">
          <cell r="A614">
            <v>41764</v>
          </cell>
          <cell r="B614" t="str">
            <v>Svaz diabetiků</v>
          </cell>
        </row>
        <row r="615">
          <cell r="A615">
            <v>41815</v>
          </cell>
          <cell r="B615" t="str">
            <v>Český svaz bojovníků</v>
          </cell>
        </row>
        <row r="616">
          <cell r="A616">
            <v>41816</v>
          </cell>
          <cell r="B616" t="str">
            <v>Vojenské sdružení rehabilitovaných</v>
          </cell>
        </row>
        <row r="617">
          <cell r="A617">
            <v>41818</v>
          </cell>
          <cell r="B617" t="str">
            <v>Český svaz žen</v>
          </cell>
        </row>
        <row r="618">
          <cell r="A618">
            <v>41819</v>
          </cell>
          <cell r="B618" t="str">
            <v>Centrum služeb zdravotně postižených</v>
          </cell>
        </row>
        <row r="619">
          <cell r="A619">
            <v>41820</v>
          </cell>
          <cell r="B619" t="str">
            <v>SONS sdr.org. nev.a slab ZO KH</v>
          </cell>
        </row>
        <row r="620">
          <cell r="A620">
            <v>41822</v>
          </cell>
          <cell r="B620" t="str">
            <v xml:space="preserve">Středisko rané péče SPRP Praha </v>
          </cell>
        </row>
        <row r="621">
          <cell r="A621">
            <v>41823</v>
          </cell>
          <cell r="B621" t="str">
            <v>Kolín - záchytka</v>
          </cell>
        </row>
        <row r="622">
          <cell r="A622">
            <v>41824</v>
          </cell>
          <cell r="B622" t="str">
            <v>Protidrogová prevence</v>
          </cell>
        </row>
        <row r="623">
          <cell r="A623">
            <v>41827</v>
          </cell>
          <cell r="B623" t="str">
            <v>Pedag.centrum Střední Čechy</v>
          </cell>
        </row>
        <row r="624">
          <cell r="A624">
            <v>41828</v>
          </cell>
          <cell r="B624" t="str">
            <v>Občan. iniciativa "Vděčnost"</v>
          </cell>
        </row>
        <row r="625">
          <cell r="A625">
            <v>41916</v>
          </cell>
          <cell r="B625" t="str">
            <v>Skautský oddíl VYDRY</v>
          </cell>
        </row>
        <row r="626">
          <cell r="A626">
            <v>41917</v>
          </cell>
          <cell r="B626" t="str">
            <v>Středisko rané péče Praha post</v>
          </cell>
        </row>
        <row r="627">
          <cell r="A627">
            <v>41918</v>
          </cell>
          <cell r="B627" t="str">
            <v>Car club s.r.o.</v>
          </cell>
        </row>
        <row r="628">
          <cell r="A628">
            <v>41926</v>
          </cell>
          <cell r="B628" t="str">
            <v>Česká pediatrická společnost</v>
          </cell>
        </row>
        <row r="629">
          <cell r="A629">
            <v>41927</v>
          </cell>
          <cell r="B629" t="str">
            <v>P.Lokaj zrakově postiž. děti</v>
          </cell>
        </row>
        <row r="630">
          <cell r="A630">
            <v>41928</v>
          </cell>
          <cell r="B630" t="str">
            <v>Člověk v tísni</v>
          </cell>
        </row>
        <row r="631">
          <cell r="A631">
            <v>41930</v>
          </cell>
          <cell r="B631" t="str">
            <v>Centrum soc.a prac. integrace</v>
          </cell>
        </row>
        <row r="632">
          <cell r="A632">
            <v>41935</v>
          </cell>
          <cell r="B632" t="str">
            <v>Sdruž. pro pomoc mentál. posti</v>
          </cell>
        </row>
        <row r="633">
          <cell r="A633">
            <v>41937</v>
          </cell>
          <cell r="B633" t="str">
            <v>Junák</v>
          </cell>
        </row>
        <row r="634">
          <cell r="A634">
            <v>41938</v>
          </cell>
          <cell r="B634" t="str">
            <v>DD Čáslav</v>
          </cell>
        </row>
        <row r="635">
          <cell r="A635">
            <v>41939</v>
          </cell>
          <cell r="B635" t="str">
            <v>OS Prostor Kolín</v>
          </cell>
        </row>
        <row r="636">
          <cell r="A636">
            <v>42001</v>
          </cell>
          <cell r="B636" t="str">
            <v>Festival "Jeden svět"</v>
          </cell>
        </row>
        <row r="637">
          <cell r="A637">
            <v>42002</v>
          </cell>
          <cell r="B637" t="str">
            <v>MS Neškaredice</v>
          </cell>
        </row>
        <row r="638">
          <cell r="A638">
            <v>42003</v>
          </cell>
          <cell r="B638" t="str">
            <v>Cyklus hud.vyst. Apolen</v>
          </cell>
        </row>
        <row r="639">
          <cell r="A639">
            <v>42004</v>
          </cell>
          <cell r="B639" t="str">
            <v>Dačický s.r.o.</v>
          </cell>
        </row>
        <row r="640">
          <cell r="A640">
            <v>42005</v>
          </cell>
          <cell r="B640" t="str">
            <v>Státní oblastní archiv Praha</v>
          </cell>
        </row>
        <row r="641">
          <cell r="A641">
            <v>42006</v>
          </cell>
          <cell r="B641" t="str">
            <v>TYL ochotnický spolek</v>
          </cell>
        </row>
        <row r="642">
          <cell r="A642">
            <v>42007</v>
          </cell>
          <cell r="B642" t="str">
            <v>Společnost Vox Bohemica</v>
          </cell>
        </row>
        <row r="643">
          <cell r="A643">
            <v>42008</v>
          </cell>
          <cell r="B643" t="str">
            <v>6. pionýrská skupina Kolín</v>
          </cell>
        </row>
        <row r="644">
          <cell r="A644">
            <v>42009</v>
          </cell>
          <cell r="B644" t="str">
            <v>Galerie Zubov</v>
          </cell>
        </row>
        <row r="645">
          <cell r="A645">
            <v>42010</v>
          </cell>
          <cell r="B645" t="str">
            <v>Agentura BLUES</v>
          </cell>
        </row>
        <row r="646">
          <cell r="A646">
            <v>42011</v>
          </cell>
          <cell r="B646" t="str">
            <v>EU vstup</v>
          </cell>
        </row>
        <row r="647">
          <cell r="A647">
            <v>42012</v>
          </cell>
          <cell r="B647" t="str">
            <v>Dětská divadelní přehlídka MTD</v>
          </cell>
        </row>
        <row r="648">
          <cell r="A648">
            <v>42013</v>
          </cell>
          <cell r="B648" t="str">
            <v>ČZS ZO Kutná Hora</v>
          </cell>
        </row>
        <row r="649">
          <cell r="A649">
            <v>42014</v>
          </cell>
          <cell r="B649" t="str">
            <v>Posázavský pacifik Čerčany OS</v>
          </cell>
        </row>
        <row r="650">
          <cell r="A650">
            <v>42015</v>
          </cell>
          <cell r="B650" t="str">
            <v>Kulturní svaz obč. romské náro</v>
          </cell>
        </row>
        <row r="651">
          <cell r="A651">
            <v>42016</v>
          </cell>
          <cell r="B651" t="str">
            <v>CANTICA Mgr.Vojáček OS</v>
          </cell>
        </row>
        <row r="652">
          <cell r="A652">
            <v>42017</v>
          </cell>
          <cell r="B652" t="str">
            <v>Mgr.Vindourek FO</v>
          </cell>
        </row>
        <row r="653">
          <cell r="A653">
            <v>42018</v>
          </cell>
          <cell r="B653" t="str">
            <v>Občanské sdružení Kaňk</v>
          </cell>
        </row>
        <row r="654">
          <cell r="A654">
            <v>42019</v>
          </cell>
          <cell r="B654" t="str">
            <v>Bečán Pavel FO</v>
          </cell>
        </row>
        <row r="655">
          <cell r="A655">
            <v>42020</v>
          </cell>
          <cell r="B655" t="str">
            <v>Sázavafest-In promotion s.r.o.</v>
          </cell>
        </row>
        <row r="656">
          <cell r="A656">
            <v>42021</v>
          </cell>
          <cell r="B656" t="str">
            <v>Spolek pro ob.vinařství KH OS</v>
          </cell>
        </row>
        <row r="657">
          <cell r="A657">
            <v>42022</v>
          </cell>
          <cell r="B657" t="str">
            <v>Krčil Josef FO</v>
          </cell>
        </row>
        <row r="658">
          <cell r="A658">
            <v>42023</v>
          </cell>
          <cell r="B658" t="str">
            <v>Košárek Vladimír FO Česká 1</v>
          </cell>
        </row>
        <row r="659">
          <cell r="A659">
            <v>42024</v>
          </cell>
          <cell r="B659" t="str">
            <v>Drchal FO Dobrá čajovna</v>
          </cell>
        </row>
        <row r="660">
          <cell r="A660">
            <v>42025</v>
          </cell>
          <cell r="B660" t="str">
            <v>Vinné sklepy KH s.r.o.</v>
          </cell>
        </row>
        <row r="661">
          <cell r="A661">
            <v>42026</v>
          </cell>
          <cell r="B661" t="str">
            <v>Kučera Video-kabelová televize</v>
          </cell>
        </row>
        <row r="662">
          <cell r="A662">
            <v>42027</v>
          </cell>
          <cell r="B662" t="str">
            <v>Andrej Németh FO</v>
          </cell>
        </row>
        <row r="663">
          <cell r="A663">
            <v>42028</v>
          </cell>
          <cell r="B663" t="str">
            <v>MAS Lípa pro venkov Zbraslavic</v>
          </cell>
        </row>
        <row r="664">
          <cell r="A664">
            <v>42029</v>
          </cell>
          <cell r="B664" t="str">
            <v>Sdružení LUGH</v>
          </cell>
        </row>
        <row r="665">
          <cell r="A665">
            <v>42030</v>
          </cell>
          <cell r="B665" t="str">
            <v>LINE s.r.o. Kmochův Kolín</v>
          </cell>
        </row>
        <row r="666">
          <cell r="A666">
            <v>42031</v>
          </cell>
          <cell r="B666" t="str">
            <v>Kukrálová FO</v>
          </cell>
        </row>
        <row r="667">
          <cell r="A667">
            <v>42032</v>
          </cell>
          <cell r="B667" t="str">
            <v>LOTOS s.r.o.</v>
          </cell>
        </row>
        <row r="668">
          <cell r="A668">
            <v>42033</v>
          </cell>
          <cell r="B668" t="str">
            <v>Kolář Petr FO</v>
          </cell>
        </row>
        <row r="669">
          <cell r="A669">
            <v>42034</v>
          </cell>
          <cell r="B669" t="str">
            <v>Dostálová Kamila FO</v>
          </cell>
        </row>
        <row r="670">
          <cell r="A670">
            <v>42035</v>
          </cell>
          <cell r="B670" t="str">
            <v>Bělohlávková Petra FO</v>
          </cell>
        </row>
        <row r="671">
          <cell r="A671">
            <v>42036</v>
          </cell>
          <cell r="B671" t="str">
            <v>Ryba FO</v>
          </cell>
        </row>
        <row r="672">
          <cell r="A672">
            <v>42037</v>
          </cell>
          <cell r="B672" t="str">
            <v>Dušan Lapáček</v>
          </cell>
        </row>
        <row r="673">
          <cell r="A673">
            <v>42038</v>
          </cell>
          <cell r="B673" t="str">
            <v>PhDr. Aleš Pospíšil</v>
          </cell>
        </row>
        <row r="674">
          <cell r="A674">
            <v>42039</v>
          </cell>
          <cell r="B674" t="str">
            <v>Josef Matura - FO</v>
          </cell>
        </row>
        <row r="675">
          <cell r="A675">
            <v>42040</v>
          </cell>
          <cell r="B675" t="str">
            <v>Mil.Šanc - ŠANCE</v>
          </cell>
        </row>
        <row r="676">
          <cell r="A676">
            <v>42041</v>
          </cell>
          <cell r="B676" t="str">
            <v>Mir.Štrobl</v>
          </cell>
        </row>
        <row r="677">
          <cell r="A677">
            <v>42042</v>
          </cell>
          <cell r="B677" t="str">
            <v>Monika Pravdová</v>
          </cell>
        </row>
        <row r="678">
          <cell r="A678">
            <v>42043</v>
          </cell>
          <cell r="B678" t="str">
            <v>KaBaLa, o.s.</v>
          </cell>
        </row>
        <row r="679">
          <cell r="A679">
            <v>42044</v>
          </cell>
          <cell r="B679" t="str">
            <v>Lenka Drahotová</v>
          </cell>
        </row>
        <row r="680">
          <cell r="A680">
            <v>42100</v>
          </cell>
          <cell r="B680" t="str">
            <v>Kulturní zpravodaj</v>
          </cell>
        </row>
        <row r="681">
          <cell r="A681">
            <v>42545</v>
          </cell>
          <cell r="B681" t="str">
            <v>Brzdaři a Jitrocel</v>
          </cell>
        </row>
        <row r="682">
          <cell r="A682">
            <v>42546</v>
          </cell>
          <cell r="B682" t="str">
            <v>Pěvecké sdružení učitelů</v>
          </cell>
        </row>
        <row r="683">
          <cell r="A683">
            <v>42551</v>
          </cell>
          <cell r="B683" t="str">
            <v>Obč.sdruž. Stříbrná KH</v>
          </cell>
        </row>
        <row r="684">
          <cell r="A684">
            <v>42552</v>
          </cell>
          <cell r="B684" t="str">
            <v>Obč.sdružení Denemark</v>
          </cell>
        </row>
        <row r="685">
          <cell r="A685">
            <v>42558</v>
          </cell>
          <cell r="B685" t="str">
            <v>Česká inspirace</v>
          </cell>
        </row>
        <row r="686">
          <cell r="A686">
            <v>42595</v>
          </cell>
          <cell r="B686" t="str">
            <v>Klub rodáků a přátel KH +Orten</v>
          </cell>
        </row>
        <row r="687">
          <cell r="A687">
            <v>42596</v>
          </cell>
          <cell r="B687" t="str">
            <v>SRPDŠ ZŠ J.Palacha</v>
          </cell>
        </row>
        <row r="688">
          <cell r="A688">
            <v>42597</v>
          </cell>
          <cell r="B688" t="str">
            <v>Rada rodičů ZŠ Kam. stezka</v>
          </cell>
        </row>
        <row r="689">
          <cell r="A689">
            <v>42605</v>
          </cell>
          <cell r="B689" t="str">
            <v>Svaz měst a obcí</v>
          </cell>
        </row>
        <row r="690">
          <cell r="A690">
            <v>42606</v>
          </cell>
          <cell r="B690" t="str">
            <v>Operní týden</v>
          </cell>
        </row>
        <row r="691">
          <cell r="A691">
            <v>42655</v>
          </cell>
          <cell r="B691" t="str">
            <v>Nadace UNESCO</v>
          </cell>
        </row>
        <row r="692">
          <cell r="A692">
            <v>42807</v>
          </cell>
          <cell r="B692" t="str">
            <v>Obč. sdruž. "Hra školou"</v>
          </cell>
        </row>
        <row r="693">
          <cell r="A693">
            <v>42811</v>
          </cell>
          <cell r="B693" t="str">
            <v>P.Svěcený Miss Junior</v>
          </cell>
        </row>
        <row r="694">
          <cell r="A694">
            <v>42812</v>
          </cell>
          <cell r="B694" t="str">
            <v>P.Svěcený Kutnohorský pohár</v>
          </cell>
        </row>
        <row r="695">
          <cell r="A695">
            <v>42813</v>
          </cell>
          <cell r="B695" t="str">
            <v>Projekt Zd.Jelínek</v>
          </cell>
        </row>
        <row r="696">
          <cell r="A696">
            <v>42814</v>
          </cell>
          <cell r="B696" t="str">
            <v>A.Novák - taneční škola</v>
          </cell>
        </row>
        <row r="697">
          <cell r="A697">
            <v>42815</v>
          </cell>
          <cell r="B697" t="str">
            <v>Unie digitálních kin</v>
          </cell>
        </row>
        <row r="698">
          <cell r="A698">
            <v>42816</v>
          </cell>
          <cell r="B698" t="str">
            <v>Kultura do města Apolen OS</v>
          </cell>
        </row>
        <row r="699">
          <cell r="A699">
            <v>42817</v>
          </cell>
          <cell r="B699" t="str">
            <v>Apolen FO</v>
          </cell>
        </row>
        <row r="700">
          <cell r="A700">
            <v>42818</v>
          </cell>
          <cell r="B700" t="str">
            <v>Česká 1 OS</v>
          </cell>
        </row>
        <row r="701">
          <cell r="A701">
            <v>42820</v>
          </cell>
          <cell r="B701" t="str">
            <v>Spol. Lokomotiv Chomutov</v>
          </cell>
        </row>
        <row r="702">
          <cell r="A702">
            <v>42821</v>
          </cell>
          <cell r="B702" t="str">
            <v>V.Veselý Kaňk</v>
          </cell>
        </row>
        <row r="703">
          <cell r="A703">
            <v>42822</v>
          </cell>
          <cell r="B703" t="str">
            <v>Veteran car club</v>
          </cell>
        </row>
        <row r="704">
          <cell r="A704">
            <v>42826</v>
          </cell>
          <cell r="B704" t="str">
            <v>IPOS-ARTAMA scén. tanec</v>
          </cell>
        </row>
        <row r="705">
          <cell r="A705">
            <v>42919</v>
          </cell>
          <cell r="B705" t="str">
            <v>R.Segiň Ro/c/k 2002</v>
          </cell>
        </row>
        <row r="706">
          <cell r="A706">
            <v>42920</v>
          </cell>
          <cell r="B706" t="str">
            <v>J.Procházka výstava fotografií</v>
          </cell>
        </row>
        <row r="707">
          <cell r="A707">
            <v>42921</v>
          </cell>
          <cell r="B707" t="str">
            <v>M.Bartoš vydání sborníku</v>
          </cell>
        </row>
        <row r="708">
          <cell r="A708">
            <v>42922</v>
          </cell>
          <cell r="B708" t="str">
            <v>Český zahrádkářský svaz, ZO č. 1 o.s.</v>
          </cell>
        </row>
        <row r="709">
          <cell r="A709">
            <v>42923</v>
          </cell>
          <cell r="B709" t="str">
            <v>Arte-fakt sdružení pro ochrana památek o.s.</v>
          </cell>
        </row>
        <row r="710">
          <cell r="A710">
            <v>42924</v>
          </cell>
          <cell r="B710" t="str">
            <v>Rodinné centrum Pec o.s.</v>
          </cell>
        </row>
        <row r="711">
          <cell r="A711">
            <v>42925</v>
          </cell>
          <cell r="B711" t="str">
            <v>Sdružení "Kocábka"</v>
          </cell>
        </row>
        <row r="712">
          <cell r="A712">
            <v>42926</v>
          </cell>
          <cell r="B712" t="str">
            <v>Martin Rych - FO</v>
          </cell>
        </row>
        <row r="713">
          <cell r="A713">
            <v>42931</v>
          </cell>
          <cell r="B713" t="str">
            <v>Kinematograf bratří Čadíků</v>
          </cell>
        </row>
        <row r="714">
          <cell r="A714">
            <v>42934</v>
          </cell>
          <cell r="B714" t="str">
            <v>Sdr. České dědictví UNESCO</v>
          </cell>
        </row>
        <row r="715">
          <cell r="A715">
            <v>42937</v>
          </cell>
          <cell r="B715" t="str">
            <v>Čes.muzeum stříbra Hrádek</v>
          </cell>
        </row>
        <row r="716">
          <cell r="A716">
            <v>42938</v>
          </cell>
          <cell r="B716" t="str">
            <v>Obč.sdr. Muzeum alchymie</v>
          </cell>
        </row>
        <row r="717">
          <cell r="A717">
            <v>42939</v>
          </cell>
          <cell r="B717" t="str">
            <v>Nár. zem. muzeum Kačina</v>
          </cell>
        </row>
        <row r="718">
          <cell r="A718">
            <v>43001</v>
          </cell>
          <cell r="B718" t="str">
            <v>Olympiáda škol</v>
          </cell>
        </row>
        <row r="719">
          <cell r="A719">
            <v>43002</v>
          </cell>
          <cell r="B719" t="str">
            <v>Hřiště Sokol</v>
          </cell>
        </row>
        <row r="720">
          <cell r="A720">
            <v>43003</v>
          </cell>
          <cell r="B720" t="str">
            <v>Asociace škol.sportov. klubů</v>
          </cell>
        </row>
        <row r="721">
          <cell r="A721">
            <v>43004</v>
          </cell>
          <cell r="B721" t="str">
            <v>TJ Stadion šachový oddíl</v>
          </cell>
        </row>
        <row r="722">
          <cell r="A722">
            <v>43005</v>
          </cell>
          <cell r="B722" t="str">
            <v>SK Valdman's Církvice kickbox</v>
          </cell>
        </row>
        <row r="723">
          <cell r="A723">
            <v>43006</v>
          </cell>
          <cell r="B723" t="str">
            <v>Sportovní aerobik Brachovcová</v>
          </cell>
        </row>
        <row r="724">
          <cell r="A724">
            <v>43007</v>
          </cell>
          <cell r="B724" t="str">
            <v>Turnaj v malé kopané-Doubrava</v>
          </cell>
        </row>
        <row r="725">
          <cell r="A725">
            <v>43008</v>
          </cell>
          <cell r="B725" t="str">
            <v>FO Lubenský Kutnohorská laťka</v>
          </cell>
        </row>
        <row r="726">
          <cell r="A726">
            <v>43009</v>
          </cell>
          <cell r="B726" t="str">
            <v>Michelin team KH</v>
          </cell>
        </row>
        <row r="727">
          <cell r="A727">
            <v>43010</v>
          </cell>
          <cell r="B727" t="str">
            <v>TJ Sparta - odd. kuželek</v>
          </cell>
        </row>
        <row r="728">
          <cell r="A728">
            <v>43011</v>
          </cell>
          <cell r="B728" t="str">
            <v>Rodinné centrum Špalíček</v>
          </cell>
        </row>
        <row r="729">
          <cell r="A729">
            <v>43012</v>
          </cell>
          <cell r="B729" t="str">
            <v>Hasičský sportovní klub (sdr.)</v>
          </cell>
        </row>
        <row r="730">
          <cell r="A730">
            <v>43013</v>
          </cell>
          <cell r="B730" t="str">
            <v>TJ Sparta - odd. horozlezectví</v>
          </cell>
        </row>
        <row r="731">
          <cell r="A731">
            <v>43014</v>
          </cell>
          <cell r="B731" t="str">
            <v>TJ Sparta - odd. jezdectví</v>
          </cell>
        </row>
        <row r="732">
          <cell r="A732">
            <v>43015</v>
          </cell>
          <cell r="B732" t="str">
            <v>TJ Sparta - odd. pláž.volejbal</v>
          </cell>
        </row>
        <row r="733">
          <cell r="A733">
            <v>43521</v>
          </cell>
          <cell r="B733" t="str">
            <v>TJ Sparta-plav.bazén</v>
          </cell>
        </row>
        <row r="734">
          <cell r="A734">
            <v>43522</v>
          </cell>
          <cell r="B734" t="str">
            <v>TJ Elán</v>
          </cell>
        </row>
        <row r="735">
          <cell r="A735">
            <v>43524</v>
          </cell>
          <cell r="B735" t="str">
            <v>TJ Stadion</v>
          </cell>
        </row>
        <row r="736">
          <cell r="A736">
            <v>43562</v>
          </cell>
          <cell r="B736" t="str">
            <v>TJ Sokol Kaňk</v>
          </cell>
        </row>
        <row r="737">
          <cell r="A737">
            <v>43563</v>
          </cell>
          <cell r="B737" t="str">
            <v>TJ Viktoria Sedlec</v>
          </cell>
        </row>
        <row r="738">
          <cell r="A738">
            <v>43564</v>
          </cell>
          <cell r="B738" t="str">
            <v>SKP Olympia</v>
          </cell>
        </row>
        <row r="739">
          <cell r="A739">
            <v>43565</v>
          </cell>
          <cell r="B739" t="str">
            <v>TJ Sokol Malín</v>
          </cell>
        </row>
        <row r="740">
          <cell r="A740">
            <v>43566</v>
          </cell>
          <cell r="B740" t="str">
            <v>TJ Turista</v>
          </cell>
        </row>
        <row r="741">
          <cell r="A741">
            <v>43567</v>
          </cell>
          <cell r="B741" t="str">
            <v>TJ Tercia</v>
          </cell>
        </row>
        <row r="742">
          <cell r="A742">
            <v>43568</v>
          </cell>
          <cell r="B742" t="str">
            <v>TJ ČAKS-oblast Kutnohorsko</v>
          </cell>
        </row>
        <row r="743">
          <cell r="A743">
            <v>43569</v>
          </cell>
          <cell r="B743" t="str">
            <v>SK Sparta kopaná</v>
          </cell>
        </row>
        <row r="744">
          <cell r="A744">
            <v>43570</v>
          </cell>
          <cell r="B744" t="str">
            <v>TJ Respo</v>
          </cell>
        </row>
        <row r="745">
          <cell r="A745">
            <v>43573</v>
          </cell>
          <cell r="B745" t="str">
            <v>TJ Sokol</v>
          </cell>
        </row>
        <row r="746">
          <cell r="A746">
            <v>43574</v>
          </cell>
          <cell r="B746" t="str">
            <v>Klub lyžařů</v>
          </cell>
        </row>
        <row r="747">
          <cell r="A747">
            <v>43575</v>
          </cell>
          <cell r="B747" t="str">
            <v>TJ Sparta - házená</v>
          </cell>
        </row>
        <row r="748">
          <cell r="A748">
            <v>43576</v>
          </cell>
          <cell r="B748" t="str">
            <v>TJ Sparta - tenis</v>
          </cell>
        </row>
        <row r="749">
          <cell r="A749">
            <v>43583</v>
          </cell>
          <cell r="B749" t="str">
            <v>Sparta KH jezdecký oddíl</v>
          </cell>
        </row>
        <row r="750">
          <cell r="A750">
            <v>43727</v>
          </cell>
          <cell r="B750" t="str">
            <v>Karate klub VAKADO</v>
          </cell>
        </row>
        <row r="751">
          <cell r="A751">
            <v>43766</v>
          </cell>
          <cell r="B751" t="str">
            <v>JK EQUUES TEAM</v>
          </cell>
        </row>
        <row r="752">
          <cell r="A752">
            <v>43767</v>
          </cell>
          <cell r="B752" t="str">
            <v>JK SCARLET</v>
          </cell>
        </row>
        <row r="753">
          <cell r="A753">
            <v>43782</v>
          </cell>
          <cell r="B753" t="str">
            <v>SK Slavia</v>
          </cell>
        </row>
        <row r="754">
          <cell r="A754">
            <v>43785</v>
          </cell>
          <cell r="B754" t="str">
            <v>SK Juve Safari</v>
          </cell>
        </row>
        <row r="755">
          <cell r="A755">
            <v>43786</v>
          </cell>
          <cell r="B755" t="str">
            <v>SK AFK Respo</v>
          </cell>
        </row>
        <row r="756">
          <cell r="A756">
            <v>43914</v>
          </cell>
          <cell r="B756" t="str">
            <v>Klub kultur. a sil.troj. Sport</v>
          </cell>
        </row>
        <row r="757">
          <cell r="A757">
            <v>43915</v>
          </cell>
          <cell r="B757" t="str">
            <v>Oddíl sport. aerobiku</v>
          </cell>
        </row>
        <row r="758">
          <cell r="A758">
            <v>43927</v>
          </cell>
          <cell r="B758" t="str">
            <v>AMK cyklotrial K.H.</v>
          </cell>
        </row>
        <row r="759">
          <cell r="A759">
            <v>43928</v>
          </cell>
          <cell r="B759" t="str">
            <v>Čáslavský mítink</v>
          </cell>
        </row>
        <row r="760">
          <cell r="A760">
            <v>43929</v>
          </cell>
          <cell r="B760" t="str">
            <v>J.Straka MČR horských kol</v>
          </cell>
        </row>
        <row r="761">
          <cell r="A761">
            <v>43930</v>
          </cell>
          <cell r="B761" t="str">
            <v>SK Sebeobrany -Sambo KH</v>
          </cell>
        </row>
        <row r="762">
          <cell r="A762">
            <v>45001</v>
          </cell>
          <cell r="B762" t="str">
            <v>Stanice pro handicap. živočich</v>
          </cell>
        </row>
        <row r="763">
          <cell r="A763">
            <v>45002</v>
          </cell>
          <cell r="B763" t="str">
            <v>Zaplatílek-příspěvek</v>
          </cell>
        </row>
        <row r="764">
          <cell r="A764">
            <v>45003</v>
          </cell>
          <cell r="B764" t="str">
            <v>Lesy České republiky</v>
          </cell>
        </row>
        <row r="765">
          <cell r="A765">
            <v>45004</v>
          </cell>
          <cell r="B765" t="str">
            <v>Kozlík - příspěvek</v>
          </cell>
        </row>
        <row r="766">
          <cell r="A766">
            <v>45005</v>
          </cell>
          <cell r="B766" t="str">
            <v>Spol. pro životní prostředí</v>
          </cell>
        </row>
        <row r="767">
          <cell r="A767">
            <v>45006</v>
          </cell>
          <cell r="B767" t="str">
            <v>Příroda s.r.o. Stará Boleslav</v>
          </cell>
        </row>
        <row r="768">
          <cell r="A768">
            <v>45007</v>
          </cell>
          <cell r="B768" t="str">
            <v>Okresní myslivecký spolek KH</v>
          </cell>
        </row>
        <row r="769">
          <cell r="A769">
            <v>45100</v>
          </cell>
          <cell r="B769" t="str">
            <v>Ekodomov OS</v>
          </cell>
        </row>
        <row r="770">
          <cell r="A770">
            <v>45588</v>
          </cell>
          <cell r="B770" t="str">
            <v>Liga na ochranu zvířat</v>
          </cell>
        </row>
        <row r="771">
          <cell r="A771">
            <v>48603</v>
          </cell>
          <cell r="B771" t="str">
            <v>Český institut inter. auditorů</v>
          </cell>
        </row>
        <row r="772">
          <cell r="A772">
            <v>48604</v>
          </cell>
          <cell r="B772" t="str">
            <v>Sdružení histor. sídel ČMS</v>
          </cell>
        </row>
        <row r="773">
          <cell r="A773">
            <v>48610</v>
          </cell>
          <cell r="B773" t="str">
            <v>Konfederace pol. vězňů</v>
          </cell>
        </row>
        <row r="774">
          <cell r="A774">
            <v>48762</v>
          </cell>
          <cell r="B774" t="str">
            <v>Reg.rozv.agen. Stř.Čechy</v>
          </cell>
        </row>
        <row r="775">
          <cell r="A775">
            <v>48808</v>
          </cell>
          <cell r="B775" t="str">
            <v>Památková komora-příspěvek</v>
          </cell>
        </row>
        <row r="776">
          <cell r="A776">
            <v>48809</v>
          </cell>
          <cell r="B776" t="str">
            <v>Čes-Bel-Luc obch.komora</v>
          </cell>
        </row>
        <row r="777">
          <cell r="A777">
            <v>49001</v>
          </cell>
          <cell r="B777" t="str">
            <v>Výcviková základna KH</v>
          </cell>
        </row>
        <row r="778">
          <cell r="A778">
            <v>49002</v>
          </cell>
          <cell r="B778" t="str">
            <v>Sbor křesťanského společ.</v>
          </cell>
        </row>
        <row r="779">
          <cell r="A779">
            <v>49003</v>
          </cell>
          <cell r="B779" t="str">
            <v>Českobratrs.církev evangelická</v>
          </cell>
        </row>
        <row r="780">
          <cell r="A780">
            <v>49004</v>
          </cell>
          <cell r="B780" t="str">
            <v>P. Souček - klub PTP KH</v>
          </cell>
        </row>
        <row r="781">
          <cell r="A781">
            <v>49005</v>
          </cell>
          <cell r="B781" t="str">
            <v>Nadační fond Gymnázia KH</v>
          </cell>
        </row>
        <row r="782">
          <cell r="A782">
            <v>49006</v>
          </cell>
          <cell r="B782" t="str">
            <v>Farní sbor - česk.cirkve evangelické</v>
          </cell>
        </row>
        <row r="783">
          <cell r="A783">
            <v>49010</v>
          </cell>
          <cell r="B783" t="str">
            <v>Gymnazium Kutná Hora</v>
          </cell>
        </row>
        <row r="784">
          <cell r="A784">
            <v>49011</v>
          </cell>
          <cell r="B784" t="str">
            <v>Okresní hosp. komora Čáslav</v>
          </cell>
        </row>
        <row r="785">
          <cell r="A785">
            <v>49012</v>
          </cell>
          <cell r="B785" t="str">
            <v>Komunitní plán-soc.odbor</v>
          </cell>
        </row>
        <row r="786">
          <cell r="A786">
            <v>49013</v>
          </cell>
          <cell r="B786" t="str">
            <v>Kostnická jednota K. Hora</v>
          </cell>
        </row>
        <row r="787">
          <cell r="A787">
            <v>49014</v>
          </cell>
          <cell r="B787" t="str">
            <v>Evropský parlament mládeže</v>
          </cell>
        </row>
        <row r="788">
          <cell r="A788">
            <v>49015</v>
          </cell>
          <cell r="B788" t="str">
            <v>HOLIDAY WORLD</v>
          </cell>
        </row>
        <row r="789">
          <cell r="A789">
            <v>49541</v>
          </cell>
          <cell r="B789" t="str">
            <v>CONEX</v>
          </cell>
        </row>
        <row r="790">
          <cell r="A790">
            <v>49542</v>
          </cell>
          <cell r="B790" t="str">
            <v>Společnost železniční Č.Třebov</v>
          </cell>
        </row>
        <row r="791">
          <cell r="A791">
            <v>49810</v>
          </cell>
          <cell r="B791" t="str">
            <v>Z.Horák</v>
          </cell>
        </row>
        <row r="792">
          <cell r="A792">
            <v>49829</v>
          </cell>
          <cell r="B792" t="str">
            <v>OWHC Canada</v>
          </cell>
        </row>
        <row r="793">
          <cell r="A793">
            <v>52514</v>
          </cell>
          <cell r="B793" t="str">
            <v>Tylovo divadlo</v>
          </cell>
        </row>
        <row r="794">
          <cell r="A794">
            <v>52555</v>
          </cell>
          <cell r="B794" t="str">
            <v>Pečovatelská služba</v>
          </cell>
        </row>
        <row r="795">
          <cell r="A795">
            <v>52584</v>
          </cell>
          <cell r="B795" t="str">
            <v>Městská knihovna</v>
          </cell>
        </row>
        <row r="796">
          <cell r="A796">
            <v>52620</v>
          </cell>
          <cell r="B796" t="str">
            <v>MTD Mezin. kytar. soutěž</v>
          </cell>
        </row>
        <row r="797">
          <cell r="A797">
            <v>52628</v>
          </cell>
          <cell r="B797" t="str">
            <v>Galerie Felixe Jeneweina</v>
          </cell>
        </row>
        <row r="798">
          <cell r="A798">
            <v>52654</v>
          </cell>
          <cell r="B798" t="str">
            <v>Svatováclavské slavnosti</v>
          </cell>
        </row>
        <row r="799">
          <cell r="A799">
            <v>52658</v>
          </cell>
          <cell r="B799" t="str">
            <v>MTD Hudební festival KH</v>
          </cell>
        </row>
        <row r="800">
          <cell r="A800">
            <v>52701</v>
          </cell>
          <cell r="B800" t="str">
            <v>MŠ</v>
          </cell>
        </row>
        <row r="801">
          <cell r="A801">
            <v>52702</v>
          </cell>
          <cell r="B801" t="str">
            <v>MŠ Pohádka</v>
          </cell>
        </row>
        <row r="802">
          <cell r="A802">
            <v>52703</v>
          </cell>
          <cell r="B802" t="str">
            <v>MŠ Benešova ul.</v>
          </cell>
        </row>
        <row r="803">
          <cell r="A803">
            <v>52720</v>
          </cell>
          <cell r="B803" t="str">
            <v>ZŠ Kamenná stezka</v>
          </cell>
        </row>
        <row r="804">
          <cell r="A804">
            <v>52722</v>
          </cell>
          <cell r="B804" t="str">
            <v>ZŠ TGM</v>
          </cell>
        </row>
        <row r="805">
          <cell r="A805">
            <v>52723</v>
          </cell>
          <cell r="B805" t="str">
            <v>ZŠ Žižkov</v>
          </cell>
        </row>
        <row r="806">
          <cell r="A806">
            <v>52724</v>
          </cell>
          <cell r="B806" t="str">
            <v>ZŠ Žižkov-Eger</v>
          </cell>
        </row>
        <row r="807">
          <cell r="A807">
            <v>52734</v>
          </cell>
          <cell r="B807" t="str">
            <v>Nemocnice PO</v>
          </cell>
        </row>
        <row r="808">
          <cell r="A808">
            <v>52740</v>
          </cell>
          <cell r="B808" t="str">
            <v>ŠJ</v>
          </cell>
        </row>
        <row r="809">
          <cell r="A809">
            <v>52750</v>
          </cell>
          <cell r="B809" t="str">
            <v>ZUŠ</v>
          </cell>
        </row>
        <row r="810">
          <cell r="A810">
            <v>52759</v>
          </cell>
          <cell r="B810" t="str">
            <v>ZŠ J.Palacha</v>
          </cell>
        </row>
        <row r="811">
          <cell r="A811">
            <v>53310</v>
          </cell>
          <cell r="B811" t="str">
            <v>MLR</v>
          </cell>
        </row>
        <row r="812">
          <cell r="A812">
            <v>53320</v>
          </cell>
          <cell r="B812" t="str">
            <v>Tebis</v>
          </cell>
        </row>
        <row r="813">
          <cell r="A813">
            <v>53330</v>
          </cell>
          <cell r="B813" t="str">
            <v>Technické služby</v>
          </cell>
        </row>
        <row r="814">
          <cell r="A814">
            <v>53331</v>
          </cell>
          <cell r="B814" t="str">
            <v>Technické služby</v>
          </cell>
        </row>
        <row r="815">
          <cell r="A815">
            <v>53332</v>
          </cell>
          <cell r="B815" t="str">
            <v>Technické služby</v>
          </cell>
        </row>
        <row r="816">
          <cell r="A816">
            <v>53380</v>
          </cell>
          <cell r="B816" t="str">
            <v>Pivovar</v>
          </cell>
        </row>
        <row r="817">
          <cell r="A817">
            <v>53381</v>
          </cell>
          <cell r="B817" t="str">
            <v>VHS Vrchlice-Maleč</v>
          </cell>
        </row>
        <row r="818">
          <cell r="A818">
            <v>53629</v>
          </cell>
          <cell r="B818" t="str">
            <v>KIC</v>
          </cell>
        </row>
        <row r="819">
          <cell r="A819">
            <v>53667</v>
          </cell>
          <cell r="B819" t="str">
            <v>Průvodcovská služba</v>
          </cell>
        </row>
        <row r="820">
          <cell r="A820">
            <v>53700</v>
          </cell>
          <cell r="B820" t="str">
            <v>Nemocnice s.r.o.</v>
          </cell>
        </row>
        <row r="821">
          <cell r="A821">
            <v>53710</v>
          </cell>
          <cell r="B821" t="str">
            <v>Náklady na přípravu k Nemocnic</v>
          </cell>
        </row>
        <row r="822">
          <cell r="A822">
            <v>53808</v>
          </cell>
          <cell r="B822" t="str">
            <v>Správa majetku města</v>
          </cell>
        </row>
        <row r="823">
          <cell r="A823">
            <v>53913</v>
          </cell>
          <cell r="B823" t="str">
            <v>SK Sparta ČKD K.H., a.s.</v>
          </cell>
        </row>
        <row r="824">
          <cell r="A824">
            <v>55700</v>
          </cell>
          <cell r="B824" t="str">
            <v>Zrušená Nemocnice KH s.r.o.</v>
          </cell>
        </row>
        <row r="825">
          <cell r="A825">
            <v>55734</v>
          </cell>
          <cell r="B825" t="str">
            <v>Zrušená PO Nemocnice</v>
          </cell>
        </row>
        <row r="826">
          <cell r="A826">
            <v>57001</v>
          </cell>
          <cell r="B826" t="str">
            <v>Církevní gymnazium sv.Voršily</v>
          </cell>
        </row>
        <row r="827">
          <cell r="A827">
            <v>57002</v>
          </cell>
          <cell r="B827" t="str">
            <v>Římskokatolická farnost Sedlec</v>
          </cell>
        </row>
        <row r="828">
          <cell r="A828">
            <v>57003</v>
          </cell>
          <cell r="B828" t="str">
            <v>Arciděkanství Kutná Hora</v>
          </cell>
        </row>
        <row r="829">
          <cell r="A829">
            <v>59734</v>
          </cell>
          <cell r="B829" t="str">
            <v>Nemocnice záměr prodat,pronáje</v>
          </cell>
        </row>
        <row r="830">
          <cell r="A830">
            <v>60001</v>
          </cell>
          <cell r="B830" t="str">
            <v>Účet IPB - úvěr</v>
          </cell>
        </row>
        <row r="831">
          <cell r="A831">
            <v>60002</v>
          </cell>
          <cell r="B831" t="str">
            <v>Účet IPB - úvěr</v>
          </cell>
        </row>
        <row r="832">
          <cell r="A832">
            <v>60010</v>
          </cell>
          <cell r="B832" t="str">
            <v>Sociální fond</v>
          </cell>
        </row>
        <row r="833">
          <cell r="A833">
            <v>60020</v>
          </cell>
          <cell r="B833" t="str">
            <v>Odbor správní</v>
          </cell>
        </row>
        <row r="834">
          <cell r="A834">
            <v>60030</v>
          </cell>
          <cell r="B834" t="str">
            <v>Stavební úřad</v>
          </cell>
        </row>
        <row r="835">
          <cell r="A835">
            <v>60050</v>
          </cell>
          <cell r="B835" t="str">
            <v>Kancelář tajemníka</v>
          </cell>
        </row>
        <row r="836">
          <cell r="A836">
            <v>60051</v>
          </cell>
          <cell r="B836" t="str">
            <v>Zastupitelské orgány</v>
          </cell>
        </row>
        <row r="837">
          <cell r="A837">
            <v>60055</v>
          </cell>
          <cell r="B837" t="str">
            <v>Informatika</v>
          </cell>
        </row>
        <row r="838">
          <cell r="A838">
            <v>60059</v>
          </cell>
          <cell r="B838" t="str">
            <v>Vnitřní správa</v>
          </cell>
        </row>
        <row r="839">
          <cell r="A839">
            <v>60060</v>
          </cell>
          <cell r="B839" t="str">
            <v>Interní audit</v>
          </cell>
        </row>
        <row r="840">
          <cell r="A840">
            <v>60070</v>
          </cell>
          <cell r="B840" t="str">
            <v>Živnostenský úřad</v>
          </cell>
        </row>
        <row r="841">
          <cell r="A841">
            <v>60080</v>
          </cell>
          <cell r="B841" t="str">
            <v>Odbor obrany</v>
          </cell>
        </row>
        <row r="842">
          <cell r="A842">
            <v>60090</v>
          </cell>
          <cell r="B842" t="str">
            <v>Odbor ekonomický</v>
          </cell>
        </row>
        <row r="843">
          <cell r="A843">
            <v>60094</v>
          </cell>
          <cell r="B843" t="str">
            <v>Daně a poplatky</v>
          </cell>
        </row>
        <row r="844">
          <cell r="A844">
            <v>60097</v>
          </cell>
          <cell r="B844" t="str">
            <v>Příspěvkové organizace</v>
          </cell>
        </row>
        <row r="845">
          <cell r="A845">
            <v>60204</v>
          </cell>
          <cell r="B845" t="str">
            <v>Mzdy-svatby</v>
          </cell>
        </row>
        <row r="846">
          <cell r="A846">
            <v>60206</v>
          </cell>
          <cell r="B846" t="str">
            <v>Požární ochrana</v>
          </cell>
        </row>
        <row r="847">
          <cell r="A847">
            <v>60207</v>
          </cell>
          <cell r="B847" t="str">
            <v>Stravování</v>
          </cell>
        </row>
        <row r="848">
          <cell r="A848">
            <v>60208</v>
          </cell>
          <cell r="B848" t="str">
            <v>Volby do zastupitel. krajů</v>
          </cell>
        </row>
        <row r="849">
          <cell r="A849">
            <v>60209</v>
          </cell>
          <cell r="B849" t="str">
            <v>Právní služby</v>
          </cell>
        </row>
        <row r="850">
          <cell r="A850">
            <v>60213</v>
          </cell>
          <cell r="B850" t="str">
            <v>Ceniny-kolky</v>
          </cell>
        </row>
        <row r="851">
          <cell r="A851">
            <v>62100</v>
          </cell>
          <cell r="B851" t="str">
            <v>Městská policie</v>
          </cell>
        </row>
        <row r="852">
          <cell r="A852">
            <v>62110</v>
          </cell>
          <cell r="B852" t="str">
            <v>Cena za měření z pokut VP Inve</v>
          </cell>
        </row>
        <row r="853">
          <cell r="A853">
            <v>62200</v>
          </cell>
          <cell r="B853" t="str">
            <v>Vedení MÚ</v>
          </cell>
        </row>
        <row r="854">
          <cell r="A854">
            <v>62300</v>
          </cell>
          <cell r="B854" t="str">
            <v>Odbor doprava-dotace</v>
          </cell>
        </row>
        <row r="855">
          <cell r="A855">
            <v>62600</v>
          </cell>
          <cell r="B855" t="str">
            <v>SAPARD</v>
          </cell>
        </row>
        <row r="856">
          <cell r="A856">
            <v>62601</v>
          </cell>
          <cell r="B856" t="str">
            <v>Mikroregion Kutnohorsko</v>
          </cell>
        </row>
        <row r="857">
          <cell r="A857">
            <v>62700</v>
          </cell>
          <cell r="B857" t="str">
            <v>Sociální odbor</v>
          </cell>
        </row>
        <row r="858">
          <cell r="A858">
            <v>63230</v>
          </cell>
          <cell r="B858" t="str">
            <v>Odbor dopravy</v>
          </cell>
        </row>
        <row r="859">
          <cell r="A859">
            <v>63237</v>
          </cell>
          <cell r="B859" t="str">
            <v>Silniční hospodářství</v>
          </cell>
        </row>
        <row r="860">
          <cell r="A860">
            <v>64100</v>
          </cell>
          <cell r="B860" t="str">
            <v>Dok.cet. ruch k LIMITCE</v>
          </cell>
        </row>
        <row r="861">
          <cell r="A861">
            <v>64235</v>
          </cell>
          <cell r="B861" t="str">
            <v>Sídliště Šipší</v>
          </cell>
        </row>
        <row r="862">
          <cell r="A862">
            <v>64240</v>
          </cell>
          <cell r="B862" t="str">
            <v>Odbor regionálního rozvoje</v>
          </cell>
        </row>
        <row r="863">
          <cell r="A863">
            <v>65250</v>
          </cell>
          <cell r="B863" t="str">
            <v>Odbor životního prostředí</v>
          </cell>
        </row>
        <row r="864">
          <cell r="A864">
            <v>65481</v>
          </cell>
          <cell r="B864" t="str">
            <v>Použití výtěžku VHP</v>
          </cell>
        </row>
        <row r="865">
          <cell r="A865">
            <v>65502</v>
          </cell>
          <cell r="B865" t="str">
            <v>Rekultivace</v>
          </cell>
        </row>
        <row r="866">
          <cell r="A866">
            <v>65503</v>
          </cell>
          <cell r="B866" t="str">
            <v>Tříděný odpad</v>
          </cell>
        </row>
        <row r="867">
          <cell r="A867">
            <v>65504</v>
          </cell>
          <cell r="B867" t="str">
            <v>Sběrný dvůr</v>
          </cell>
        </row>
        <row r="868">
          <cell r="A868">
            <v>65739</v>
          </cell>
          <cell r="B868" t="str">
            <v>Útulek pro psy</v>
          </cell>
        </row>
        <row r="869">
          <cell r="A869">
            <v>65795</v>
          </cell>
          <cell r="B869" t="str">
            <v>Komunální odpad</v>
          </cell>
        </row>
        <row r="870">
          <cell r="A870">
            <v>66201</v>
          </cell>
          <cell r="B870" t="str">
            <v>Omyl</v>
          </cell>
        </row>
        <row r="871">
          <cell r="A871">
            <v>66202</v>
          </cell>
          <cell r="B871" t="str">
            <v>Ceny města KH</v>
          </cell>
        </row>
        <row r="872">
          <cell r="A872">
            <v>66203</v>
          </cell>
          <cell r="B872" t="str">
            <v>Sdělovací prostředky</v>
          </cell>
        </row>
        <row r="873">
          <cell r="A873">
            <v>66260</v>
          </cell>
          <cell r="B873" t="str">
            <v>Odbor kultury</v>
          </cell>
        </row>
        <row r="874">
          <cell r="A874">
            <v>66261</v>
          </cell>
          <cell r="B874" t="str">
            <v>Videofilm studio</v>
          </cell>
        </row>
        <row r="875">
          <cell r="A875">
            <v>66262</v>
          </cell>
          <cell r="B875" t="str">
            <v>Sbor pro obč. zálež.SPOZ</v>
          </cell>
        </row>
        <row r="876">
          <cell r="A876">
            <v>66263</v>
          </cell>
          <cell r="B876" t="str">
            <v>Umělecké soubory</v>
          </cell>
        </row>
        <row r="877">
          <cell r="A877">
            <v>66266</v>
          </cell>
          <cell r="B877" t="str">
            <v>Příspěvky pro kulturu</v>
          </cell>
        </row>
        <row r="878">
          <cell r="A878">
            <v>66622</v>
          </cell>
          <cell r="B878" t="str">
            <v>Kronika</v>
          </cell>
        </row>
        <row r="879">
          <cell r="A879">
            <v>66623</v>
          </cell>
          <cell r="B879" t="str">
            <v>Ostatní kultura</v>
          </cell>
        </row>
        <row r="880">
          <cell r="A880">
            <v>66624</v>
          </cell>
          <cell r="B880" t="str">
            <v>Probouzení Kutné Hory</v>
          </cell>
        </row>
        <row r="881">
          <cell r="A881">
            <v>66625</v>
          </cell>
          <cell r="B881" t="str">
            <v>Krásné město</v>
          </cell>
        </row>
        <row r="882">
          <cell r="A882">
            <v>66653</v>
          </cell>
          <cell r="B882" t="str">
            <v>Propagace</v>
          </cell>
        </row>
        <row r="883">
          <cell r="A883">
            <v>66659</v>
          </cell>
          <cell r="B883" t="str">
            <v>Kutnohorské listy</v>
          </cell>
        </row>
        <row r="884">
          <cell r="A884">
            <v>66660</v>
          </cell>
          <cell r="B884" t="str">
            <v>Kutnohorský dekret</v>
          </cell>
        </row>
        <row r="885">
          <cell r="A885">
            <v>66661</v>
          </cell>
          <cell r="B885" t="str">
            <v>Výročí J.K.Tyla</v>
          </cell>
        </row>
        <row r="886">
          <cell r="A886">
            <v>67270</v>
          </cell>
          <cell r="B886" t="str">
            <v>Sociální odbor</v>
          </cell>
        </row>
        <row r="887">
          <cell r="A887">
            <v>67710</v>
          </cell>
          <cell r="B887" t="str">
            <v>Sociální pomoc ROD</v>
          </cell>
        </row>
        <row r="888">
          <cell r="A888">
            <v>67711</v>
          </cell>
          <cell r="B888" t="str">
            <v>Soc. příspěvek DIA</v>
          </cell>
        </row>
        <row r="889">
          <cell r="A889">
            <v>67713</v>
          </cell>
          <cell r="B889" t="str">
            <v>Soc. DP kapesné</v>
          </cell>
        </row>
        <row r="890">
          <cell r="A890">
            <v>67714</v>
          </cell>
          <cell r="B890" t="str">
            <v>Soc. jednorázová FV</v>
          </cell>
        </row>
        <row r="891">
          <cell r="A891">
            <v>67717</v>
          </cell>
          <cell r="B891" t="str">
            <v>Klub důchodců</v>
          </cell>
        </row>
        <row r="892">
          <cell r="A892">
            <v>67718</v>
          </cell>
          <cell r="B892" t="str">
            <v>Soc. jiná nemoc</v>
          </cell>
        </row>
        <row r="893">
          <cell r="A893">
            <v>67719</v>
          </cell>
          <cell r="B893" t="str">
            <v>Soc. blízká osoba důchodci</v>
          </cell>
        </row>
        <row r="894">
          <cell r="A894">
            <v>67720</v>
          </cell>
          <cell r="B894" t="str">
            <v>Soc. příspěvek nezaměstnaným</v>
          </cell>
        </row>
        <row r="895">
          <cell r="A895">
            <v>67723</v>
          </cell>
          <cell r="B895" t="str">
            <v>Soc. ORT, zdrav. postižení</v>
          </cell>
        </row>
        <row r="896">
          <cell r="A896">
            <v>67724</v>
          </cell>
          <cell r="B896" t="str">
            <v>Soc. krmivo pro slep. psa</v>
          </cell>
        </row>
        <row r="897">
          <cell r="A897">
            <v>67726</v>
          </cell>
          <cell r="B897" t="str">
            <v>Soc. individuální doprava</v>
          </cell>
        </row>
        <row r="898">
          <cell r="A898">
            <v>67727</v>
          </cell>
          <cell r="B898" t="str">
            <v>Soc. provoz telef. stanice</v>
          </cell>
        </row>
        <row r="899">
          <cell r="A899">
            <v>67728</v>
          </cell>
          <cell r="B899" t="str">
            <v>Soc. dálniční známka</v>
          </cell>
        </row>
        <row r="900">
          <cell r="A900">
            <v>67729</v>
          </cell>
          <cell r="B900" t="str">
            <v>Soc. blízká osoba děti</v>
          </cell>
        </row>
        <row r="901">
          <cell r="A901">
            <v>67730</v>
          </cell>
          <cell r="B901" t="str">
            <v>Vystavení ZTP</v>
          </cell>
        </row>
        <row r="902">
          <cell r="A902">
            <v>67750</v>
          </cell>
          <cell r="B902" t="str">
            <v>Soc.přísp. na nákup a opr. MV</v>
          </cell>
        </row>
        <row r="903">
          <cell r="A903">
            <v>67751</v>
          </cell>
          <cell r="B903" t="str">
            <v>Soc. přísp. na benzín</v>
          </cell>
        </row>
        <row r="904">
          <cell r="A904">
            <v>67752</v>
          </cell>
          <cell r="B904" t="str">
            <v>Soc. přísp. na úpravu bytu</v>
          </cell>
        </row>
        <row r="905">
          <cell r="A905">
            <v>67753</v>
          </cell>
          <cell r="B905" t="str">
            <v>Soc. přísp. na nákup pomůcek</v>
          </cell>
        </row>
        <row r="906">
          <cell r="A906">
            <v>67754</v>
          </cell>
          <cell r="B906" t="str">
            <v>Soc. přísp. na výživu</v>
          </cell>
        </row>
        <row r="907">
          <cell r="A907">
            <v>67755</v>
          </cell>
          <cell r="B907" t="str">
            <v>Soc. společ.nepřispůsobení</v>
          </cell>
        </row>
        <row r="908">
          <cell r="A908">
            <v>67756</v>
          </cell>
          <cell r="B908" t="str">
            <v>Soc. potřební-staří občané</v>
          </cell>
        </row>
        <row r="909">
          <cell r="A909">
            <v>67757</v>
          </cell>
          <cell r="B909" t="str">
            <v>Soc. přisp. při péči o osobu b</v>
          </cell>
        </row>
        <row r="910">
          <cell r="A910">
            <v>67758</v>
          </cell>
          <cell r="B910" t="str">
            <v>Soc.přísp. na zvýšené živ. nák</v>
          </cell>
        </row>
        <row r="911">
          <cell r="A911">
            <v>67759</v>
          </cell>
          <cell r="B911" t="str">
            <v>Soc. přísp. na už.bezbar. bytu</v>
          </cell>
        </row>
        <row r="912">
          <cell r="A912">
            <v>67760</v>
          </cell>
          <cell r="B912" t="str">
            <v>Soc.přísp. - okamžitá pomoc</v>
          </cell>
        </row>
        <row r="913">
          <cell r="A913">
            <v>67761</v>
          </cell>
          <cell r="B913" t="str">
            <v>Soc. příspěvek na živobytí</v>
          </cell>
        </row>
        <row r="914">
          <cell r="A914">
            <v>67762</v>
          </cell>
          <cell r="B914" t="str">
            <v>Soc. přísp. doplatek bydlení</v>
          </cell>
        </row>
        <row r="915">
          <cell r="A915">
            <v>67763</v>
          </cell>
          <cell r="B915" t="str">
            <v>Příspěvek na péči</v>
          </cell>
        </row>
        <row r="916">
          <cell r="A916">
            <v>68201</v>
          </cell>
          <cell r="B916" t="str">
            <v>Dokumentace památek</v>
          </cell>
        </row>
        <row r="917">
          <cell r="A917">
            <v>68280</v>
          </cell>
          <cell r="B917" t="str">
            <v>Odbor památkové péče</v>
          </cell>
        </row>
        <row r="918">
          <cell r="A918">
            <v>68656</v>
          </cell>
          <cell r="B918" t="str">
            <v>Dny evropského dědictví</v>
          </cell>
        </row>
        <row r="919">
          <cell r="A919">
            <v>69001</v>
          </cell>
          <cell r="B919" t="str">
            <v>Geometrické plány</v>
          </cell>
        </row>
        <row r="920">
          <cell r="A920">
            <v>69002</v>
          </cell>
          <cell r="B920" t="str">
            <v>Inzeráty</v>
          </cell>
        </row>
        <row r="921">
          <cell r="A921">
            <v>69100</v>
          </cell>
          <cell r="B921" t="str">
            <v>Bud.spol.vlastn.-vratka příjmů</v>
          </cell>
        </row>
        <row r="922">
          <cell r="A922">
            <v>69101</v>
          </cell>
          <cell r="B922" t="str">
            <v>Automaty TS</v>
          </cell>
        </row>
        <row r="923">
          <cell r="A923">
            <v>69200</v>
          </cell>
          <cell r="B923" t="str">
            <v>Výdaje byty</v>
          </cell>
        </row>
        <row r="924">
          <cell r="A924">
            <v>69201</v>
          </cell>
          <cell r="B924" t="str">
            <v>Dorotovič-postoup.pohl. ze SMM</v>
          </cell>
        </row>
        <row r="925">
          <cell r="A925">
            <v>69208</v>
          </cell>
          <cell r="B925" t="str">
            <v>Náhr.ubyt. neplatičů</v>
          </cell>
        </row>
        <row r="926">
          <cell r="A926">
            <v>69209</v>
          </cell>
          <cell r="B926" t="str">
            <v>Poplatek za vymáhání pohledáve</v>
          </cell>
        </row>
        <row r="927">
          <cell r="A927">
            <v>69210</v>
          </cell>
          <cell r="B927" t="str">
            <v>Poplatek za uvolnění</v>
          </cell>
        </row>
        <row r="928">
          <cell r="A928">
            <v>69235</v>
          </cell>
          <cell r="B928" t="str">
            <v>Sídliště Šipší přeznačení</v>
          </cell>
        </row>
        <row r="929">
          <cell r="A929">
            <v>69250</v>
          </cell>
          <cell r="B929" t="str">
            <v>Odpadkové koše</v>
          </cell>
        </row>
        <row r="930">
          <cell r="A930">
            <v>69290</v>
          </cell>
          <cell r="B930" t="str">
            <v>Odbor správy majetku</v>
          </cell>
        </row>
        <row r="931">
          <cell r="A931">
            <v>69292</v>
          </cell>
          <cell r="B931" t="str">
            <v>Odd. majetkové</v>
          </cell>
        </row>
        <row r="932">
          <cell r="A932">
            <v>69295</v>
          </cell>
          <cell r="B932" t="str">
            <v>Odd. bytové</v>
          </cell>
        </row>
        <row r="933">
          <cell r="A933">
            <v>69296</v>
          </cell>
          <cell r="B933" t="str">
            <v>Odd. technické</v>
          </cell>
        </row>
        <row r="934">
          <cell r="A934">
            <v>69297</v>
          </cell>
          <cell r="B934" t="str">
            <v>Odd. památek</v>
          </cell>
        </row>
        <row r="935">
          <cell r="A935">
            <v>69299</v>
          </cell>
          <cell r="B935" t="str">
            <v>Odd. rozvoj a investice</v>
          </cell>
        </row>
        <row r="936">
          <cell r="A936">
            <v>69300</v>
          </cell>
          <cell r="B936" t="str">
            <v>Výdaje v priv. domech</v>
          </cell>
        </row>
        <row r="937">
          <cell r="A937">
            <v>69301</v>
          </cell>
          <cell r="B937" t="str">
            <v>Nezprivatizované byty - ostatní služby</v>
          </cell>
        </row>
        <row r="938">
          <cell r="A938">
            <v>69330</v>
          </cell>
          <cell r="B938" t="str">
            <v>Daň z nemovitosti</v>
          </cell>
        </row>
        <row r="939">
          <cell r="A939">
            <v>69400</v>
          </cell>
          <cell r="B939" t="str">
            <v>Výdaje nebyty</v>
          </cell>
        </row>
        <row r="940">
          <cell r="A940">
            <v>69409</v>
          </cell>
          <cell r="B940" t="str">
            <v>Služby nebytové prostory</v>
          </cell>
        </row>
        <row r="941">
          <cell r="A941">
            <v>69450</v>
          </cell>
          <cell r="B941" t="str">
            <v>Slavnostní osv.nebyty</v>
          </cell>
        </row>
        <row r="942">
          <cell r="A942">
            <v>69470</v>
          </cell>
          <cell r="B942" t="str">
            <v>Fond regenerace</v>
          </cell>
        </row>
        <row r="943">
          <cell r="A943">
            <v>69500</v>
          </cell>
          <cell r="B943" t="str">
            <v>Plán odpadového hospodářství</v>
          </cell>
        </row>
        <row r="944">
          <cell r="A944">
            <v>69503</v>
          </cell>
          <cell r="B944" t="str">
            <v>Tříděný odpad MVE</v>
          </cell>
        </row>
        <row r="945">
          <cell r="A945">
            <v>69600</v>
          </cell>
          <cell r="B945" t="str">
            <v>Veřejná zeleň</v>
          </cell>
        </row>
        <row r="946">
          <cell r="A946">
            <v>69601</v>
          </cell>
          <cell r="B946" t="str">
            <v>Další členění technického odd.</v>
          </cell>
        </row>
        <row r="947">
          <cell r="A947">
            <v>69602</v>
          </cell>
          <cell r="B947" t="str">
            <v>Další členění technického odd.</v>
          </cell>
        </row>
        <row r="948">
          <cell r="A948">
            <v>69650</v>
          </cell>
          <cell r="B948" t="str">
            <v>Poj.události,živelní pohromy</v>
          </cell>
        </row>
        <row r="949">
          <cell r="A949">
            <v>69651</v>
          </cell>
          <cell r="B949" t="str">
            <v>Poj. události krádeže, poškoze</v>
          </cell>
        </row>
        <row r="950">
          <cell r="A950">
            <v>69739</v>
          </cell>
          <cell r="B950" t="str">
            <v>Záchytná stanice pro psy</v>
          </cell>
        </row>
        <row r="951">
          <cell r="A951">
            <v>69786</v>
          </cell>
          <cell r="B951" t="str">
            <v>Platba pohl. CMSS za obyv.</v>
          </cell>
        </row>
        <row r="952">
          <cell r="A952">
            <v>69795</v>
          </cell>
          <cell r="B952" t="str">
            <v>Komunální odpad MVE</v>
          </cell>
        </row>
        <row r="953">
          <cell r="A953">
            <v>69796</v>
          </cell>
          <cell r="B953" t="str">
            <v>Komunální odpad TS</v>
          </cell>
        </row>
        <row r="954">
          <cell r="A954">
            <v>69800</v>
          </cell>
          <cell r="B954" t="str">
            <v>Krajani z Kazachstánu</v>
          </cell>
        </row>
        <row r="955">
          <cell r="A955">
            <v>90801</v>
          </cell>
          <cell r="B955" t="str">
            <v>Mylné platby</v>
          </cell>
        </row>
        <row r="956">
          <cell r="A956">
            <v>98071</v>
          </cell>
          <cell r="B956" t="str">
            <v>Výdaje na volby (FV)</v>
          </cell>
        </row>
        <row r="957">
          <cell r="A957">
            <v>988101</v>
          </cell>
          <cell r="B957" t="str">
            <v>Úroku ČS 40</v>
          </cell>
        </row>
        <row r="958">
          <cell r="A958">
            <v>988102</v>
          </cell>
          <cell r="B958" t="str">
            <v>Úroku ČS 20</v>
          </cell>
        </row>
        <row r="959">
          <cell r="A959">
            <v>988103</v>
          </cell>
          <cell r="B959" t="str">
            <v>Úrok ČS překl.</v>
          </cell>
        </row>
        <row r="960">
          <cell r="A960">
            <v>988104</v>
          </cell>
          <cell r="B960" t="str">
            <v>Úrok ČS Benešova ul. 16,5</v>
          </cell>
        </row>
        <row r="961">
          <cell r="A961">
            <v>988105</v>
          </cell>
          <cell r="B961" t="str">
            <v>Úrok ČS kontokorent 15</v>
          </cell>
        </row>
        <row r="962">
          <cell r="A962">
            <v>988106</v>
          </cell>
          <cell r="B962" t="str">
            <v>Úrok ČS invest. 17,7 M Nemocni</v>
          </cell>
        </row>
        <row r="963">
          <cell r="A963">
            <v>988107</v>
          </cell>
          <cell r="B963" t="str">
            <v>Úrok ČS 20 Nemocnice</v>
          </cell>
        </row>
        <row r="964">
          <cell r="A964">
            <v>988108</v>
          </cell>
          <cell r="B964" t="str">
            <v>Úrok ČS 9,82 12 b.j.</v>
          </cell>
        </row>
        <row r="965">
          <cell r="A965">
            <v>988109</v>
          </cell>
          <cell r="B965" t="str">
            <v>Úrok ČS 30 NsAČ</v>
          </cell>
        </row>
        <row r="966">
          <cell r="A966">
            <v>988110</v>
          </cell>
          <cell r="B966" t="str">
            <v>Úrok ČS 33,6 bazény</v>
          </cell>
        </row>
        <row r="967">
          <cell r="A967">
            <v>988111</v>
          </cell>
          <cell r="B967" t="str">
            <v>Úrok ČS 14 TEBIS</v>
          </cell>
        </row>
        <row r="968">
          <cell r="A968">
            <v>988112</v>
          </cell>
          <cell r="B968" t="str">
            <v>Úrok ČS parkoviště Klimeška</v>
          </cell>
        </row>
        <row r="969">
          <cell r="A969">
            <v>988117</v>
          </cell>
          <cell r="B969" t="str">
            <v>Úrok ČS hřiště TGM</v>
          </cell>
        </row>
        <row r="970">
          <cell r="A970">
            <v>988118</v>
          </cell>
          <cell r="B970" t="str">
            <v>Úrok ČS sídliště Šipší</v>
          </cell>
        </row>
        <row r="971">
          <cell r="A971">
            <v>988201</v>
          </cell>
          <cell r="B971" t="str">
            <v>Úrok ČSOB 20</v>
          </cell>
        </row>
        <row r="972">
          <cell r="A972">
            <v>988202</v>
          </cell>
          <cell r="B972" t="str">
            <v>Úrok ČSOB 10</v>
          </cell>
        </row>
        <row r="973">
          <cell r="A973">
            <v>988203</v>
          </cell>
          <cell r="B973" t="str">
            <v>Úrok Kino</v>
          </cell>
        </row>
        <row r="974">
          <cell r="A974">
            <v>988401</v>
          </cell>
          <cell r="B974" t="str">
            <v>Úrok KB Klimeška 13</v>
          </cell>
        </row>
        <row r="975">
          <cell r="A975">
            <v>988402</v>
          </cell>
          <cell r="B975" t="str">
            <v>Úrok KB pivovar 16</v>
          </cell>
        </row>
        <row r="976">
          <cell r="A976">
            <v>988403</v>
          </cell>
          <cell r="B976" t="str">
            <v>Úrok KB kontokorent</v>
          </cell>
        </row>
        <row r="977">
          <cell r="A977">
            <v>988404</v>
          </cell>
          <cell r="B977" t="str">
            <v>Úrok KB 16 tepelné hospod.</v>
          </cell>
        </row>
        <row r="978">
          <cell r="A978">
            <v>988501</v>
          </cell>
          <cell r="B978" t="str">
            <v>Úrok ČMHB Pušk.I 14,9</v>
          </cell>
        </row>
        <row r="979">
          <cell r="A979">
            <v>988502</v>
          </cell>
          <cell r="B979" t="str">
            <v>Úrok ČMHB Pušk.II 18,8</v>
          </cell>
        </row>
        <row r="980">
          <cell r="A980">
            <v>988601</v>
          </cell>
          <cell r="B980" t="str">
            <v>Úrok Volksbank venk. bazény</v>
          </cell>
        </row>
        <row r="981">
          <cell r="A981">
            <v>999101</v>
          </cell>
          <cell r="B981" t="str">
            <v>Úvěr ČS 40</v>
          </cell>
        </row>
        <row r="982">
          <cell r="A982">
            <v>999102</v>
          </cell>
          <cell r="B982" t="str">
            <v>Úvěr ČS 20</v>
          </cell>
        </row>
        <row r="983">
          <cell r="A983">
            <v>999103</v>
          </cell>
          <cell r="B983" t="str">
            <v>Úvěr ČS překl.</v>
          </cell>
        </row>
        <row r="984">
          <cell r="A984">
            <v>999104</v>
          </cell>
          <cell r="B984" t="str">
            <v>Hypot.úvěr ČS Benešova 16,5</v>
          </cell>
        </row>
        <row r="985">
          <cell r="A985">
            <v>999105</v>
          </cell>
          <cell r="B985" t="str">
            <v>ČS kontokorent 15</v>
          </cell>
        </row>
        <row r="986">
          <cell r="A986">
            <v>999106</v>
          </cell>
          <cell r="B986" t="str">
            <v>ČS úvěr dlouh. NsAČ 17,7</v>
          </cell>
        </row>
        <row r="987">
          <cell r="A987">
            <v>999107</v>
          </cell>
          <cell r="B987" t="str">
            <v>ČS 20 úvěr Nemocnice</v>
          </cell>
        </row>
        <row r="988">
          <cell r="A988">
            <v>999108</v>
          </cell>
          <cell r="B988" t="str">
            <v>Úvěr ČS 9,82 12 b.j.</v>
          </cell>
        </row>
        <row r="989">
          <cell r="A989">
            <v>999109</v>
          </cell>
          <cell r="B989" t="str">
            <v>ČS 30ml úvěr NsAČ</v>
          </cell>
        </row>
        <row r="990">
          <cell r="A990">
            <v>999110</v>
          </cell>
          <cell r="B990" t="str">
            <v>ČS33,6 bazény -přeúvěr.z VBan</v>
          </cell>
        </row>
        <row r="991">
          <cell r="A991">
            <v>999111</v>
          </cell>
          <cell r="B991" t="str">
            <v>ČS 14 TEBIS</v>
          </cell>
        </row>
        <row r="992">
          <cell r="A992">
            <v>999112</v>
          </cell>
          <cell r="B992" t="str">
            <v>ČS z 15 ml parkoviště Klimeška</v>
          </cell>
        </row>
        <row r="993">
          <cell r="A993">
            <v>999118</v>
          </cell>
          <cell r="B993" t="str">
            <v>ČS z 15 ml sídliště Šipší</v>
          </cell>
        </row>
        <row r="994">
          <cell r="A994">
            <v>999201</v>
          </cell>
          <cell r="B994" t="str">
            <v>Úvěr ČSOB 20</v>
          </cell>
        </row>
        <row r="995">
          <cell r="A995">
            <v>999202</v>
          </cell>
          <cell r="B995" t="str">
            <v>Úvěr ČSOB 10</v>
          </cell>
        </row>
        <row r="996">
          <cell r="A996">
            <v>999203</v>
          </cell>
          <cell r="B996" t="str">
            <v>Úvěr Kino</v>
          </cell>
        </row>
        <row r="997">
          <cell r="A997">
            <v>999205</v>
          </cell>
          <cell r="B997" t="str">
            <v>Kontokorent ČSOB</v>
          </cell>
        </row>
        <row r="998">
          <cell r="A998">
            <v>999301</v>
          </cell>
          <cell r="B998" t="str">
            <v>SF ŽP</v>
          </cell>
        </row>
        <row r="999">
          <cell r="A999">
            <v>999401</v>
          </cell>
          <cell r="B999" t="str">
            <v>Úvěr KB Klimeška 13</v>
          </cell>
        </row>
        <row r="1000">
          <cell r="A1000">
            <v>999402</v>
          </cell>
          <cell r="B1000" t="str">
            <v>Úvěr KB pivovar 16</v>
          </cell>
        </row>
        <row r="1001">
          <cell r="A1001">
            <v>999403</v>
          </cell>
          <cell r="B1001" t="str">
            <v>Úvěr KB kontokorent</v>
          </cell>
        </row>
        <row r="1002">
          <cell r="A1002">
            <v>999404</v>
          </cell>
          <cell r="B1002" t="str">
            <v>Úvěr KB 16 tepelné hospod.</v>
          </cell>
        </row>
        <row r="1003">
          <cell r="A1003">
            <v>999501</v>
          </cell>
          <cell r="B1003" t="str">
            <v>Úvěr ČMHB Pušk.I 14,9</v>
          </cell>
        </row>
        <row r="1004">
          <cell r="A1004">
            <v>999502</v>
          </cell>
          <cell r="B1004" t="str">
            <v>Úvěr.ČMHB Pušk.II 18,8</v>
          </cell>
        </row>
        <row r="1005">
          <cell r="A1005">
            <v>999601</v>
          </cell>
          <cell r="B1005" t="str">
            <v>Úvěr Vbank bazény- od 3/06 ČS</v>
          </cell>
        </row>
        <row r="1006">
          <cell r="A1006">
            <v>992434312</v>
          </cell>
          <cell r="B1006" t="str">
            <v>Vlašský dvůr-dlažba nádv.limit</v>
          </cell>
        </row>
        <row r="1007">
          <cell r="A1007">
            <v>999214052</v>
          </cell>
          <cell r="B1007" t="str">
            <v>Kamerový mon.systém-limit</v>
          </cell>
        </row>
        <row r="1008">
          <cell r="A1008">
            <v>999214214</v>
          </cell>
          <cell r="B1008" t="str">
            <v>Informační výstražný systém</v>
          </cell>
        </row>
        <row r="1009">
          <cell r="A1009">
            <v>999217112</v>
          </cell>
          <cell r="B1009" t="str">
            <v>Dokumentace cestovní ruch</v>
          </cell>
        </row>
        <row r="1010">
          <cell r="A1010">
            <v>999222043</v>
          </cell>
          <cell r="B1010" t="str">
            <v>Územní energet.koncepce-limit</v>
          </cell>
        </row>
        <row r="1011">
          <cell r="A1011">
            <v>999233510</v>
          </cell>
          <cell r="B1011" t="str">
            <v>Rekonstrukce hřiště SOKOL</v>
          </cell>
        </row>
        <row r="1012">
          <cell r="A1012">
            <v>999298110</v>
          </cell>
          <cell r="B1012" t="str">
            <v>Rekonstr.hřiště Sparta ČKD-LIM</v>
          </cell>
        </row>
        <row r="1013">
          <cell r="A1013">
            <v>999298113</v>
          </cell>
          <cell r="B1013" t="str">
            <v>Opěrná zeď Kouřimská-limit</v>
          </cell>
        </row>
        <row r="1014">
          <cell r="A1014">
            <v>999298210</v>
          </cell>
          <cell r="B1014" t="str">
            <v>MŠ Pohádka rekonstrukce-limitk</v>
          </cell>
        </row>
        <row r="1015">
          <cell r="A1015">
            <v>999298211</v>
          </cell>
          <cell r="B1015" t="str">
            <v>ZŠ TGM - limitka okna</v>
          </cell>
        </row>
        <row r="1016">
          <cell r="A1016">
            <v>999298214</v>
          </cell>
          <cell r="B1016" t="str">
            <v>Šk družina ZŠ Žižkov - limitka</v>
          </cell>
        </row>
        <row r="1017">
          <cell r="A1017">
            <v>999307440</v>
          </cell>
          <cell r="B1017" t="str">
            <v>Dotace vojenské hroby</v>
          </cell>
        </row>
        <row r="1018">
          <cell r="A1018">
            <v>999314013</v>
          </cell>
          <cell r="B1018" t="str">
            <v>Limitka - kamerový systém</v>
          </cell>
        </row>
        <row r="1019">
          <cell r="A1019">
            <v>999317420</v>
          </cell>
          <cell r="B1019" t="str">
            <v>Dotace byty Puškinská</v>
          </cell>
        </row>
        <row r="1020">
          <cell r="A1020">
            <v>999322054</v>
          </cell>
          <cell r="B1020" t="str">
            <v>Akreditace PZ Na Rovinách</v>
          </cell>
        </row>
        <row r="1021">
          <cell r="A1021">
            <v>999333515</v>
          </cell>
          <cell r="B1021" t="str">
            <v>Staveb. rekonstr. ZS - limitka</v>
          </cell>
        </row>
        <row r="1022">
          <cell r="A1022">
            <v>999334030</v>
          </cell>
          <cell r="B1022" t="str">
            <v>Dotace záchrana architek.dědic</v>
          </cell>
        </row>
        <row r="1023">
          <cell r="A1023">
            <v>999335020</v>
          </cell>
          <cell r="B1023" t="str">
            <v>Limitka- PO NsAČ</v>
          </cell>
        </row>
        <row r="1024">
          <cell r="A1024">
            <v>999335210</v>
          </cell>
          <cell r="B1024" t="str">
            <v>Dotace NsAČ</v>
          </cell>
        </row>
        <row r="1025">
          <cell r="A1025">
            <v>999398810</v>
          </cell>
          <cell r="B1025" t="str">
            <v>Venkovní bazény-přístavba</v>
          </cell>
        </row>
        <row r="1026">
          <cell r="A1026">
            <v>999434312</v>
          </cell>
          <cell r="B1026" t="str">
            <v>13 soch u Jezuit.koleje-limitk</v>
          </cell>
        </row>
        <row r="1027">
          <cell r="A1027">
            <v>999925591</v>
          </cell>
          <cell r="B1027" t="str">
            <v>Rek.6 b.j. Vojtěšská - SFRB</v>
          </cell>
        </row>
        <row r="1028">
          <cell r="A1028">
            <v>999925592</v>
          </cell>
          <cell r="B1028" t="str">
            <v>Výstavba 12 b.j. - SFRB</v>
          </cell>
        </row>
        <row r="1029">
          <cell r="A1029">
            <v>999927031</v>
          </cell>
          <cell r="B1029" t="str">
            <v>Staveb. úpravy 10 b.j.-limitk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u"/>
      <sheetName val="aktuální čerpání"/>
      <sheetName val="OrgC"/>
      <sheetName val="priloha_2b"/>
      <sheetName val="orJ"/>
      <sheetName val="polozky"/>
      <sheetName val="kap"/>
      <sheetName val="UZ"/>
      <sheetName val="paragrafy"/>
      <sheetName val="RO"/>
      <sheetName val="UP"/>
      <sheetName val="RO_FENIX_RM_interky"/>
      <sheetName val="RO_FENIX_ZM"/>
      <sheetName val="OrgC_rozčlenění"/>
      <sheetName val="UP_Dářa"/>
      <sheetName val="APK"/>
      <sheetName val="strategické řízení"/>
      <sheetName val="pokuty"/>
      <sheetName val="úvěr"/>
      <sheetName val="List1"/>
      <sheetName val="List2"/>
      <sheetName val="Návrh_rozpočtu_2018"/>
      <sheetName val="změna"/>
      <sheetName val="bez_SuAu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SpPo</v>
          </cell>
          <cell r="B1" t="str">
            <v>Text</v>
          </cell>
        </row>
        <row r="2">
          <cell r="A2">
            <v>1111</v>
          </cell>
          <cell r="B2" t="str">
            <v>Daň z příj.fyz.osob ze závis.č</v>
          </cell>
        </row>
        <row r="3">
          <cell r="A3">
            <v>1112</v>
          </cell>
          <cell r="B3" t="str">
            <v>Daň z příj.fyz.os.z sam.výd.č.</v>
          </cell>
        </row>
        <row r="4">
          <cell r="A4">
            <v>1113</v>
          </cell>
          <cell r="B4" t="str">
            <v>Daň z příj.fyz.os.z kapit.výn.</v>
          </cell>
        </row>
        <row r="5">
          <cell r="A5">
            <v>1119</v>
          </cell>
          <cell r="B5" t="str">
            <v>Zruš.daně z př.fyzic.osob j.n.</v>
          </cell>
        </row>
        <row r="6">
          <cell r="A6">
            <v>1121</v>
          </cell>
          <cell r="B6" t="str">
            <v>Daň z příjmů právnických osob</v>
          </cell>
        </row>
        <row r="7">
          <cell r="A7">
            <v>1122</v>
          </cell>
          <cell r="B7" t="str">
            <v>Daň z příjmů práv.osob za obce</v>
          </cell>
        </row>
        <row r="8">
          <cell r="A8">
            <v>1123</v>
          </cell>
          <cell r="B8" t="str">
            <v>Daň z příj. práv.osob za kraje</v>
          </cell>
        </row>
        <row r="9">
          <cell r="A9">
            <v>1129</v>
          </cell>
          <cell r="B9" t="str">
            <v>Zruš.daně-příjem práv.osob</v>
          </cell>
        </row>
        <row r="10">
          <cell r="A10">
            <v>1211</v>
          </cell>
          <cell r="B10" t="str">
            <v>Daň z přidané hodnoty</v>
          </cell>
        </row>
        <row r="11">
          <cell r="A11">
            <v>1219</v>
          </cell>
          <cell r="B11" t="str">
            <v>Zrušené daně ze zboží a služeb</v>
          </cell>
        </row>
        <row r="12">
          <cell r="A12">
            <v>1221</v>
          </cell>
          <cell r="B12" t="str">
            <v>Spotř. daň z minerálních olejů</v>
          </cell>
        </row>
        <row r="13">
          <cell r="A13">
            <v>1222</v>
          </cell>
          <cell r="B13" t="str">
            <v>Spotřební daň z lihu</v>
          </cell>
        </row>
        <row r="14">
          <cell r="A14">
            <v>1223</v>
          </cell>
          <cell r="B14" t="str">
            <v>Spotřební daň z piva</v>
          </cell>
        </row>
        <row r="15">
          <cell r="A15">
            <v>1224</v>
          </cell>
          <cell r="B15" t="str">
            <v>Spotř.daň z vína a meziproduk.</v>
          </cell>
        </row>
        <row r="16">
          <cell r="A16">
            <v>1225</v>
          </cell>
          <cell r="B16" t="str">
            <v>Spotřební daň z tabák.výrobků</v>
          </cell>
        </row>
        <row r="17">
          <cell r="A17">
            <v>1226</v>
          </cell>
          <cell r="B17" t="str">
            <v>Poplat.-látky poškozující o.v.</v>
          </cell>
        </row>
        <row r="18">
          <cell r="A18">
            <v>1227</v>
          </cell>
          <cell r="B18" t="str">
            <v>Přípl.k vstup.-veř.produk.kino</v>
          </cell>
        </row>
        <row r="19">
          <cell r="A19">
            <v>1321</v>
          </cell>
          <cell r="B19" t="str">
            <v>Daň silniční</v>
          </cell>
        </row>
        <row r="20">
          <cell r="A20">
            <v>1322</v>
          </cell>
          <cell r="B20" t="str">
            <v>Popl.za užív.dálnic,rychl.sil.</v>
          </cell>
        </row>
        <row r="21">
          <cell r="A21">
            <v>1331</v>
          </cell>
          <cell r="B21" t="str">
            <v>Poplatky-vypouštění odpad.vod</v>
          </cell>
        </row>
        <row r="22">
          <cell r="A22">
            <v>1332</v>
          </cell>
          <cell r="B22" t="str">
            <v>Popl. za znečišťování ovzduší</v>
          </cell>
        </row>
        <row r="23">
          <cell r="A23">
            <v>1333</v>
          </cell>
          <cell r="B23" t="str">
            <v>Poplatky za uložení odpadů</v>
          </cell>
        </row>
        <row r="24">
          <cell r="A24">
            <v>1334</v>
          </cell>
          <cell r="B24" t="str">
            <v>Odvody za odnětí půdy-z.p.f.</v>
          </cell>
        </row>
        <row r="25">
          <cell r="A25">
            <v>1335</v>
          </cell>
          <cell r="B25" t="str">
            <v>Popl.-odnětí poz.-funkce lesa</v>
          </cell>
        </row>
        <row r="26">
          <cell r="A26">
            <v>1336</v>
          </cell>
          <cell r="B26" t="str">
            <v>Popl.za povol.vypouš.odpad.vod</v>
          </cell>
        </row>
        <row r="27">
          <cell r="A27">
            <v>1337</v>
          </cell>
          <cell r="B27" t="str">
            <v>Poplatek-likvidace kom.odpadu</v>
          </cell>
        </row>
        <row r="28">
          <cell r="A28">
            <v>1338</v>
          </cell>
          <cell r="B28" t="str">
            <v>Reg.a eviden. poplat. za obaly</v>
          </cell>
        </row>
        <row r="29">
          <cell r="A29">
            <v>1339</v>
          </cell>
          <cell r="B29" t="str">
            <v>Ost.popl.a odvody-živ.prostř.</v>
          </cell>
        </row>
        <row r="30">
          <cell r="A30">
            <v>1340</v>
          </cell>
          <cell r="B30" t="str">
            <v>Poplatek za komunální odpad</v>
          </cell>
        </row>
        <row r="31">
          <cell r="A31">
            <v>1341</v>
          </cell>
          <cell r="B31" t="str">
            <v>Poplatek ze psů</v>
          </cell>
        </row>
        <row r="32">
          <cell r="A32">
            <v>1342</v>
          </cell>
          <cell r="B32" t="str">
            <v>Popl.za lázeň.nebo rekr.pobyt</v>
          </cell>
        </row>
        <row r="33">
          <cell r="A33">
            <v>1343</v>
          </cell>
          <cell r="B33" t="str">
            <v>Popl.užívání veřej.prostranst.</v>
          </cell>
        </row>
        <row r="34">
          <cell r="A34">
            <v>1344</v>
          </cell>
          <cell r="B34" t="str">
            <v>Poplatek ze vstupného</v>
          </cell>
        </row>
        <row r="35">
          <cell r="A35">
            <v>1345</v>
          </cell>
          <cell r="B35" t="str">
            <v>Poplatek z ubytovací kapacity</v>
          </cell>
        </row>
        <row r="36">
          <cell r="A36">
            <v>1346</v>
          </cell>
          <cell r="B36" t="str">
            <v>Popl.za povol.k vjezdu do v.m.</v>
          </cell>
        </row>
        <row r="37">
          <cell r="A37">
            <v>1347</v>
          </cell>
          <cell r="B37" t="str">
            <v>Popl. za prov.výh.hr.přístroj</v>
          </cell>
        </row>
        <row r="38">
          <cell r="A38">
            <v>1348</v>
          </cell>
          <cell r="B38" t="str">
            <v>Popl.za zhodnoc.staveb.pozemku</v>
          </cell>
        </row>
        <row r="39">
          <cell r="A39">
            <v>1349</v>
          </cell>
          <cell r="B39" t="str">
            <v>Zrušené místní poplatky</v>
          </cell>
        </row>
        <row r="40">
          <cell r="A40">
            <v>1351</v>
          </cell>
          <cell r="B40" t="str">
            <v>Odvod výtěž.z provoz. loterií</v>
          </cell>
        </row>
        <row r="41">
          <cell r="A41">
            <v>1352</v>
          </cell>
          <cell r="B41" t="str">
            <v>Odvod za státní dozor</v>
          </cell>
        </row>
        <row r="42">
          <cell r="A42">
            <v>1353</v>
          </cell>
          <cell r="B42" t="str">
            <v>Příjmy za zkoušky-řidič.opráv.</v>
          </cell>
        </row>
        <row r="43">
          <cell r="A43">
            <v>1354</v>
          </cell>
          <cell r="B43" t="str">
            <v>Příjmy z licencí pro kam.dopr.</v>
          </cell>
        </row>
        <row r="44">
          <cell r="A44">
            <v>1355</v>
          </cell>
          <cell r="B44" t="str">
            <v>VHP</v>
          </cell>
        </row>
        <row r="45">
          <cell r="A45">
            <v>1356</v>
          </cell>
          <cell r="B45" t="str">
            <v>Příjmy z úhrad za dobývání nerostů</v>
          </cell>
        </row>
        <row r="46">
          <cell r="A46">
            <v>1359</v>
          </cell>
          <cell r="B46" t="str">
            <v>Ostatní odvody z vyb.čin.-j.n.</v>
          </cell>
        </row>
        <row r="47">
          <cell r="A47">
            <v>1361</v>
          </cell>
          <cell r="B47" t="str">
            <v>Správní poplatky</v>
          </cell>
        </row>
        <row r="48">
          <cell r="A48">
            <v>1381</v>
          </cell>
          <cell r="B48" t="str">
            <v>Daň z hazardních her</v>
          </cell>
        </row>
        <row r="49">
          <cell r="A49">
            <v>1401</v>
          </cell>
          <cell r="B49" t="str">
            <v>Clo</v>
          </cell>
        </row>
        <row r="50">
          <cell r="A50">
            <v>1402</v>
          </cell>
          <cell r="B50" t="str">
            <v>Podíl na clech</v>
          </cell>
        </row>
        <row r="51">
          <cell r="A51">
            <v>1409</v>
          </cell>
          <cell r="B51" t="str">
            <v>Zruš.daně z mezin.obch.a tran.</v>
          </cell>
        </row>
        <row r="52">
          <cell r="A52">
            <v>1511</v>
          </cell>
          <cell r="B52" t="str">
            <v>Daň z nemovitostí</v>
          </cell>
        </row>
        <row r="53">
          <cell r="A53">
            <v>1521</v>
          </cell>
          <cell r="B53" t="str">
            <v>Daň dědická</v>
          </cell>
        </row>
        <row r="54">
          <cell r="A54">
            <v>1522</v>
          </cell>
          <cell r="B54" t="str">
            <v>Daň darovací</v>
          </cell>
        </row>
        <row r="55">
          <cell r="A55">
            <v>1523</v>
          </cell>
          <cell r="B55" t="str">
            <v>Daň z převodu nemovitostí</v>
          </cell>
        </row>
        <row r="56">
          <cell r="A56">
            <v>1529</v>
          </cell>
          <cell r="B56" t="str">
            <v>Zruš.daně z maj.a kap.převodů</v>
          </cell>
        </row>
        <row r="57">
          <cell r="A57">
            <v>1611</v>
          </cell>
          <cell r="B57" t="str">
            <v>Poj.na důch.poj.-zaměstnavatel</v>
          </cell>
        </row>
        <row r="58">
          <cell r="A58">
            <v>1612</v>
          </cell>
          <cell r="B58" t="str">
            <v>Poj.na důch.poj.-zaměstnanec</v>
          </cell>
        </row>
        <row r="59">
          <cell r="A59">
            <v>1613</v>
          </cell>
          <cell r="B59" t="str">
            <v>Pojistné na důch.pojiš.od OSVČ</v>
          </cell>
        </row>
        <row r="60">
          <cell r="A60">
            <v>1614</v>
          </cell>
          <cell r="B60" t="str">
            <v>Poj.na nem.poj.-zaměstnavatel</v>
          </cell>
        </row>
        <row r="61">
          <cell r="A61">
            <v>1615</v>
          </cell>
          <cell r="B61" t="str">
            <v>Poj.na nem.poj.-zaměstnanec</v>
          </cell>
        </row>
        <row r="62">
          <cell r="A62">
            <v>1617</v>
          </cell>
          <cell r="B62" t="str">
            <v>Přís.na pol.zam.-zaměstnavatel</v>
          </cell>
        </row>
        <row r="63">
          <cell r="A63">
            <v>1618</v>
          </cell>
          <cell r="B63" t="str">
            <v>Přísp.na pol.zam.-zaměstnanec</v>
          </cell>
        </row>
        <row r="64">
          <cell r="A64">
            <v>1621</v>
          </cell>
          <cell r="B64" t="str">
            <v>Přísp.na polit.zaměstn.od OSVČ</v>
          </cell>
        </row>
        <row r="65">
          <cell r="A65">
            <v>1627</v>
          </cell>
          <cell r="B65" t="str">
            <v>Přirážky k pojistnému</v>
          </cell>
        </row>
        <row r="66">
          <cell r="A66">
            <v>1628</v>
          </cell>
          <cell r="B66" t="str">
            <v>Příslušenství pojistného</v>
          </cell>
        </row>
        <row r="67">
          <cell r="A67">
            <v>1631</v>
          </cell>
          <cell r="B67" t="str">
            <v>Poj.na zdr.poj.-zaměstnavatel</v>
          </cell>
        </row>
        <row r="68">
          <cell r="A68">
            <v>1632</v>
          </cell>
          <cell r="B68" t="str">
            <v>Poj.na zdr.poj.-zaměstnanec</v>
          </cell>
        </row>
        <row r="69">
          <cell r="A69">
            <v>1633</v>
          </cell>
          <cell r="B69" t="str">
            <v>Poj.na zdr.poj. od OSVČ</v>
          </cell>
        </row>
        <row r="70">
          <cell r="A70">
            <v>1638</v>
          </cell>
          <cell r="B70" t="str">
            <v>Příslušen.poj.na zdr.pojištění</v>
          </cell>
        </row>
        <row r="71">
          <cell r="A71">
            <v>1641</v>
          </cell>
          <cell r="B71" t="str">
            <v>Pojistné na úrazové pojištění</v>
          </cell>
        </row>
        <row r="72">
          <cell r="A72">
            <v>1642</v>
          </cell>
          <cell r="B72" t="str">
            <v>Přirážky k pojistnému</v>
          </cell>
        </row>
        <row r="73">
          <cell r="A73">
            <v>1643</v>
          </cell>
          <cell r="B73" t="str">
            <v>Příslušenství pojistného</v>
          </cell>
        </row>
        <row r="74">
          <cell r="A74">
            <v>1691</v>
          </cell>
          <cell r="B74" t="str">
            <v>Zruš.daně a odvody z obj. mezd</v>
          </cell>
        </row>
        <row r="75">
          <cell r="A75">
            <v>1701</v>
          </cell>
          <cell r="B75" t="str">
            <v>Nerozúčt.a neident.daň.příjmy</v>
          </cell>
        </row>
        <row r="76">
          <cell r="A76">
            <v>1702</v>
          </cell>
          <cell r="B76" t="str">
            <v>Tržby z prodeje kolků</v>
          </cell>
        </row>
        <row r="77">
          <cell r="A77">
            <v>1703</v>
          </cell>
          <cell r="B77" t="str">
            <v>Odvody-změněná prac.schopnost</v>
          </cell>
        </row>
        <row r="78">
          <cell r="A78">
            <v>1704</v>
          </cell>
          <cell r="B78" t="str">
            <v>Příslušenství</v>
          </cell>
        </row>
        <row r="79">
          <cell r="A79">
            <v>1705</v>
          </cell>
          <cell r="B79" t="str">
            <v>Podíl na dávkách z cukru</v>
          </cell>
        </row>
        <row r="80">
          <cell r="A80">
            <v>1706</v>
          </cell>
          <cell r="B80" t="str">
            <v>Dávky z cukru</v>
          </cell>
        </row>
        <row r="81">
          <cell r="A81">
            <v>2111</v>
          </cell>
          <cell r="B81" t="str">
            <v>Příj.z poskyt.služeb a výrobků</v>
          </cell>
        </row>
        <row r="82">
          <cell r="A82">
            <v>2112</v>
          </cell>
          <cell r="B82" t="str">
            <v>Příj.z prodeje zboží</v>
          </cell>
        </row>
        <row r="83">
          <cell r="A83">
            <v>2113</v>
          </cell>
          <cell r="B83" t="str">
            <v>Příjmy ze školného</v>
          </cell>
        </row>
        <row r="84">
          <cell r="A84">
            <v>2114</v>
          </cell>
          <cell r="B84" t="str">
            <v>Mýtné</v>
          </cell>
        </row>
        <row r="85">
          <cell r="A85">
            <v>2119</v>
          </cell>
          <cell r="B85" t="str">
            <v>Ostatní příjmy z vlastní čin.</v>
          </cell>
        </row>
        <row r="86">
          <cell r="A86">
            <v>2121</v>
          </cell>
          <cell r="B86" t="str">
            <v>Odvody přebytků ústřed.banky</v>
          </cell>
        </row>
        <row r="87">
          <cell r="A87">
            <v>2122</v>
          </cell>
          <cell r="B87" t="str">
            <v>Odvody PO</v>
          </cell>
        </row>
        <row r="88">
          <cell r="A88">
            <v>2123</v>
          </cell>
          <cell r="B88" t="str">
            <v>Ostatní odvody PO</v>
          </cell>
        </row>
        <row r="89">
          <cell r="A89">
            <v>2124</v>
          </cell>
          <cell r="B89" t="str">
            <v>Odv.škol.pr.os.zříz.st.,kr.,ob</v>
          </cell>
        </row>
        <row r="90">
          <cell r="A90">
            <v>2129</v>
          </cell>
          <cell r="B90" t="str">
            <v>Ost.odvo.přebytků org.s př.vzt</v>
          </cell>
        </row>
        <row r="91">
          <cell r="A91">
            <v>2131</v>
          </cell>
          <cell r="B91" t="str">
            <v>Příjmy z pronájmu pozemků</v>
          </cell>
        </row>
        <row r="92">
          <cell r="A92">
            <v>2132</v>
          </cell>
          <cell r="B92" t="str">
            <v>Příj.z pronáj.ost.nemovitostí</v>
          </cell>
        </row>
        <row r="93">
          <cell r="A93">
            <v>2133</v>
          </cell>
          <cell r="B93" t="str">
            <v>Příjmy z pronájmu mov.věcí</v>
          </cell>
        </row>
        <row r="94">
          <cell r="A94">
            <v>2139</v>
          </cell>
          <cell r="B94" t="str">
            <v>Ostatní příjmy z pronáj.majet.</v>
          </cell>
        </row>
        <row r="95">
          <cell r="A95">
            <v>2141</v>
          </cell>
          <cell r="B95" t="str">
            <v>Příjmy z úroků (část)</v>
          </cell>
        </row>
        <row r="96">
          <cell r="A96">
            <v>2142</v>
          </cell>
          <cell r="B96" t="str">
            <v>Př.z podílů na zisku a divid.</v>
          </cell>
        </row>
        <row r="97">
          <cell r="A97">
            <v>2143</v>
          </cell>
          <cell r="B97" t="str">
            <v>Realizované kurzové zisky</v>
          </cell>
        </row>
        <row r="98">
          <cell r="A98">
            <v>2144</v>
          </cell>
          <cell r="B98" t="str">
            <v>Příjmy z úroků ze stát.dluhop.</v>
          </cell>
        </row>
        <row r="99">
          <cell r="A99">
            <v>2145</v>
          </cell>
          <cell r="B99" t="str">
            <v>Příjmy z úroků z komun.dluhop.</v>
          </cell>
        </row>
        <row r="100">
          <cell r="A100">
            <v>2149</v>
          </cell>
          <cell r="B100" t="str">
            <v>Ostatní příjmy z výnosů fin.majetku</v>
          </cell>
        </row>
        <row r="101">
          <cell r="A101">
            <v>2151</v>
          </cell>
          <cell r="B101" t="str">
            <v>Soudní poplatky</v>
          </cell>
        </row>
        <row r="102">
          <cell r="A102">
            <v>2210</v>
          </cell>
          <cell r="B102" t="str">
            <v>Přijaté sankční platby</v>
          </cell>
        </row>
        <row r="103">
          <cell r="A103">
            <v>2211</v>
          </cell>
          <cell r="B103" t="str">
            <v>Sanční platby</v>
          </cell>
        </row>
        <row r="104">
          <cell r="A104">
            <v>2212</v>
          </cell>
          <cell r="B104" t="str">
            <v>Pokuty</v>
          </cell>
        </row>
        <row r="105">
          <cell r="A105">
            <v>2221</v>
          </cell>
          <cell r="B105" t="str">
            <v>Přijaté vrat.transferů od JVR</v>
          </cell>
        </row>
        <row r="106">
          <cell r="A106">
            <v>2222</v>
          </cell>
          <cell r="B106" t="str">
            <v>Ost.příj.z FV před.let od JVR</v>
          </cell>
        </row>
        <row r="107">
          <cell r="A107">
            <v>2223</v>
          </cell>
          <cell r="B107" t="str">
            <v>Příj.z FV min.let kraj-obce</v>
          </cell>
        </row>
        <row r="108">
          <cell r="A108">
            <v>2224</v>
          </cell>
          <cell r="B108" t="str">
            <v>Vratky nevyuž.prostředků z NF</v>
          </cell>
        </row>
        <row r="109">
          <cell r="A109">
            <v>2225</v>
          </cell>
          <cell r="B109" t="str">
            <v>Úhrada pr.-zákon o ochraně zam</v>
          </cell>
        </row>
        <row r="110">
          <cell r="A110">
            <v>2226</v>
          </cell>
          <cell r="B110" t="str">
            <v>Příjmy z fin.vyp.min.let-obce</v>
          </cell>
        </row>
        <row r="111">
          <cell r="A111">
            <v>2227</v>
          </cell>
          <cell r="B111" t="str">
            <v>Příjmy z fin.vyp.min.let-regio</v>
          </cell>
        </row>
        <row r="112">
          <cell r="A112">
            <v>2229</v>
          </cell>
          <cell r="B112" t="str">
            <v>Ost.přijaté vratky transferů</v>
          </cell>
        </row>
        <row r="113">
          <cell r="A113">
            <v>2310</v>
          </cell>
          <cell r="B113" t="str">
            <v>Př.z prod.krát.a drob.dlouh.m.</v>
          </cell>
        </row>
        <row r="114">
          <cell r="A114">
            <v>2321</v>
          </cell>
          <cell r="B114" t="str">
            <v>Přijaté neinvestiční dary</v>
          </cell>
        </row>
        <row r="115">
          <cell r="A115">
            <v>2322</v>
          </cell>
          <cell r="B115" t="str">
            <v>Přijaté pojistné náhrady</v>
          </cell>
        </row>
        <row r="116">
          <cell r="A116">
            <v>2324</v>
          </cell>
          <cell r="B116" t="str">
            <v>Přij.nekapit.příspěvky,náhrady</v>
          </cell>
        </row>
        <row r="117">
          <cell r="A117">
            <v>2325</v>
          </cell>
          <cell r="B117" t="str">
            <v>Vratky p.z NF-vyrovnání k.roz.</v>
          </cell>
        </row>
        <row r="118">
          <cell r="A118">
            <v>2326</v>
          </cell>
          <cell r="B118" t="str">
            <v>Vratky p.z NF-neplnění mez.sml</v>
          </cell>
        </row>
        <row r="119">
          <cell r="A119">
            <v>2327</v>
          </cell>
          <cell r="B119" t="str">
            <v>Úhr.p.-SR odvedl ES za NF</v>
          </cell>
        </row>
        <row r="120">
          <cell r="A120">
            <v>2328</v>
          </cell>
          <cell r="B120" t="str">
            <v>Neidentifikované příjmy</v>
          </cell>
        </row>
        <row r="121">
          <cell r="A121">
            <v>2329</v>
          </cell>
          <cell r="B121" t="str">
            <v>Ostatní nedaňové příjmy j.n.</v>
          </cell>
        </row>
        <row r="122">
          <cell r="A122">
            <v>2341</v>
          </cell>
          <cell r="B122" t="str">
            <v>Popl.za využ.zdr.přir.min.vody</v>
          </cell>
        </row>
        <row r="123">
          <cell r="A123">
            <v>2342</v>
          </cell>
          <cell r="B123" t="str">
            <v>Platby za odebr.množ.pod.vody</v>
          </cell>
        </row>
        <row r="124">
          <cell r="A124">
            <v>2343</v>
          </cell>
          <cell r="B124" t="str">
            <v>Př.z úhr.vydob.prost.,vyd.ner.</v>
          </cell>
        </row>
        <row r="125">
          <cell r="A125">
            <v>2351</v>
          </cell>
          <cell r="B125" t="str">
            <v>Popl.za udrž.patentu v platn.</v>
          </cell>
        </row>
        <row r="126">
          <cell r="A126">
            <v>2352</v>
          </cell>
          <cell r="B126" t="str">
            <v>Popl.za udrž.evr.paten.v plat</v>
          </cell>
        </row>
        <row r="127">
          <cell r="A127">
            <v>2353</v>
          </cell>
          <cell r="B127" t="str">
            <v>Popl.za udr.dod.ochr.osv.p.lec</v>
          </cell>
        </row>
        <row r="128">
          <cell r="A128">
            <v>2361</v>
          </cell>
          <cell r="B128" t="str">
            <v>Pojist.na nemoc.pojiš.od OSVČ</v>
          </cell>
        </row>
        <row r="129">
          <cell r="A129">
            <v>2362</v>
          </cell>
          <cell r="B129" t="str">
            <v>Dobrov.pojistné na důch.poj.</v>
          </cell>
        </row>
        <row r="130">
          <cell r="A130">
            <v>2411</v>
          </cell>
          <cell r="B130" t="str">
            <v>Splátky půj.prostř.od fyz.osob</v>
          </cell>
        </row>
        <row r="131">
          <cell r="A131">
            <v>2412</v>
          </cell>
          <cell r="B131" t="str">
            <v>Splátky půj.pr.-práv.os.-nefin</v>
          </cell>
        </row>
        <row r="132">
          <cell r="A132">
            <v>2413</v>
          </cell>
          <cell r="B132" t="str">
            <v>Splátky půj.pr.-práv.os.-finan</v>
          </cell>
        </row>
        <row r="133">
          <cell r="A133">
            <v>2414</v>
          </cell>
          <cell r="B133" t="str">
            <v>Splátky půj.pr.-pod.ve vl.stát</v>
          </cell>
        </row>
        <row r="134">
          <cell r="A134">
            <v>2420</v>
          </cell>
          <cell r="B134" t="str">
            <v>Splátky půj.prostř. od OPS</v>
          </cell>
        </row>
        <row r="135">
          <cell r="A135">
            <v>2431</v>
          </cell>
          <cell r="B135" t="str">
            <v>Splátky půj.prostředků od SR</v>
          </cell>
        </row>
        <row r="136">
          <cell r="A136">
            <v>2432</v>
          </cell>
          <cell r="B136" t="str">
            <v>Splátky půj.prostředků od SF</v>
          </cell>
        </row>
        <row r="137">
          <cell r="A137">
            <v>2433</v>
          </cell>
          <cell r="B137" t="str">
            <v>Splátky p.p.-zvl.fondy ústř.ú.</v>
          </cell>
        </row>
        <row r="138">
          <cell r="A138">
            <v>2434</v>
          </cell>
          <cell r="B138" t="str">
            <v>Splátky p.p.-f.soc.,zdrav.poj.</v>
          </cell>
        </row>
        <row r="139">
          <cell r="A139">
            <v>2439</v>
          </cell>
          <cell r="B139" t="str">
            <v>Ost.splátky p.prostř.od veř.ro</v>
          </cell>
        </row>
        <row r="140">
          <cell r="A140">
            <v>2441</v>
          </cell>
          <cell r="B140" t="str">
            <v>Splátky půjč. prostř. od obcí</v>
          </cell>
        </row>
        <row r="141">
          <cell r="A141">
            <v>2442</v>
          </cell>
          <cell r="B141" t="str">
            <v>Splátky půjč. prostř. od krajů</v>
          </cell>
        </row>
        <row r="142">
          <cell r="A142">
            <v>2443</v>
          </cell>
          <cell r="B142" t="str">
            <v>Splátky půjč.prostř.od reg.rad</v>
          </cell>
        </row>
        <row r="143">
          <cell r="A143">
            <v>2449</v>
          </cell>
          <cell r="B143" t="str">
            <v>Ost.splátky p.p. od VR územ.ú.</v>
          </cell>
        </row>
        <row r="144">
          <cell r="A144">
            <v>2451</v>
          </cell>
          <cell r="B144" t="str">
            <v>Splátky půj.prostř. od PO</v>
          </cell>
        </row>
        <row r="145">
          <cell r="A145">
            <v>2452</v>
          </cell>
          <cell r="B145" t="str">
            <v>Splátky půj.prostř.od vys.škol</v>
          </cell>
        </row>
        <row r="146">
          <cell r="A146">
            <v>2459</v>
          </cell>
          <cell r="B146" t="str">
            <v>Splátky půj.prostř.od ost.subj</v>
          </cell>
        </row>
        <row r="147">
          <cell r="A147">
            <v>2460</v>
          </cell>
          <cell r="B147" t="str">
            <v>Splátky půj.pr.od obyvatelstva</v>
          </cell>
        </row>
        <row r="148">
          <cell r="A148">
            <v>2470</v>
          </cell>
          <cell r="B148" t="str">
            <v>Splátky půj.prost.ze zahraničí</v>
          </cell>
        </row>
        <row r="149">
          <cell r="A149">
            <v>2481</v>
          </cell>
          <cell r="B149" t="str">
            <v>Příjmy od dluž.za real.záruk</v>
          </cell>
        </row>
        <row r="150">
          <cell r="A150">
            <v>2482</v>
          </cell>
          <cell r="B150" t="str">
            <v>Příjmy od dluž.za zapl.dodávek</v>
          </cell>
        </row>
        <row r="151">
          <cell r="A151">
            <v>3111</v>
          </cell>
          <cell r="B151" t="str">
            <v>Příjmy z prodeje pozemků</v>
          </cell>
        </row>
        <row r="152">
          <cell r="A152">
            <v>3112</v>
          </cell>
          <cell r="B152" t="str">
            <v>Příjmy z prod.ost.nemovitostí</v>
          </cell>
        </row>
        <row r="153">
          <cell r="A153">
            <v>3113</v>
          </cell>
          <cell r="B153" t="str">
            <v>Příjmy z prodeje ost. HDM</v>
          </cell>
        </row>
        <row r="154">
          <cell r="A154">
            <v>3114</v>
          </cell>
          <cell r="B154" t="str">
            <v>Příjmy z prodeje NDM</v>
          </cell>
        </row>
        <row r="155">
          <cell r="A155">
            <v>3119</v>
          </cell>
          <cell r="B155" t="str">
            <v>Ostatní příjmy z prodeje DM</v>
          </cell>
        </row>
        <row r="156">
          <cell r="A156">
            <v>3121</v>
          </cell>
          <cell r="B156" t="str">
            <v>Přijaté dary na pořízení DM</v>
          </cell>
        </row>
        <row r="157">
          <cell r="A157">
            <v>3122</v>
          </cell>
          <cell r="B157" t="str">
            <v>Přij.příspěvky na pořízení DM</v>
          </cell>
        </row>
        <row r="158">
          <cell r="A158">
            <v>3129</v>
          </cell>
          <cell r="B158" t="str">
            <v>Ostatní investiční příjmy j.n.</v>
          </cell>
        </row>
        <row r="159">
          <cell r="A159">
            <v>3201</v>
          </cell>
          <cell r="B159" t="str">
            <v>Příjmy z prodeje akcií</v>
          </cell>
        </row>
        <row r="160">
          <cell r="A160">
            <v>3202</v>
          </cell>
          <cell r="B160" t="str">
            <v>Příjmy z prodeje majet.podílů</v>
          </cell>
        </row>
        <row r="161">
          <cell r="A161">
            <v>4111</v>
          </cell>
          <cell r="B161" t="str">
            <v>Neinv.přijaté transf.z VPS SR</v>
          </cell>
        </row>
        <row r="162">
          <cell r="A162">
            <v>4112</v>
          </cell>
          <cell r="B162" t="str">
            <v>Neinv.přij.tran.ze SR-s.d.vzt.</v>
          </cell>
        </row>
        <row r="163">
          <cell r="A163">
            <v>4113</v>
          </cell>
          <cell r="B163" t="str">
            <v>Neinv.přijaté transfery ze SF</v>
          </cell>
        </row>
        <row r="164">
          <cell r="A164">
            <v>4114</v>
          </cell>
          <cell r="B164" t="str">
            <v>Neinv.přij.tran.-zvl.f.ústř.ú</v>
          </cell>
        </row>
        <row r="165">
          <cell r="A165">
            <v>4115</v>
          </cell>
          <cell r="B165" t="str">
            <v>Neinv.př.tran.od f.soc.zdr.poj</v>
          </cell>
        </row>
        <row r="166">
          <cell r="A166">
            <v>4116</v>
          </cell>
          <cell r="B166" t="str">
            <v>Ost.neinv.přij.transfery ze SR</v>
          </cell>
        </row>
        <row r="167">
          <cell r="A167">
            <v>4118</v>
          </cell>
          <cell r="B167" t="str">
            <v>Neinvestiční převody z NF</v>
          </cell>
        </row>
        <row r="168">
          <cell r="A168">
            <v>4119</v>
          </cell>
          <cell r="B168" t="str">
            <v>Ost.neinv.př.tran.od r.ústř.ú.</v>
          </cell>
        </row>
        <row r="169">
          <cell r="A169">
            <v>4121</v>
          </cell>
          <cell r="B169" t="str">
            <v>Neinv.přijaté transf.od obcí</v>
          </cell>
        </row>
        <row r="170">
          <cell r="A170">
            <v>4122</v>
          </cell>
          <cell r="B170" t="str">
            <v>Neinv.přijaté transf.od krajů</v>
          </cell>
        </row>
        <row r="171">
          <cell r="A171">
            <v>4123</v>
          </cell>
          <cell r="B171" t="str">
            <v>Neinv.přijaté transf.-reg.rada</v>
          </cell>
        </row>
        <row r="172">
          <cell r="A172">
            <v>4129</v>
          </cell>
          <cell r="B172" t="str">
            <v>Ost.neinv.př.tran.od r.územ.ú.</v>
          </cell>
        </row>
        <row r="173">
          <cell r="A173">
            <v>4131</v>
          </cell>
          <cell r="B173" t="str">
            <v>Přev.z vl.fondů hosp.činnosti</v>
          </cell>
        </row>
        <row r="174">
          <cell r="A174">
            <v>4132</v>
          </cell>
          <cell r="B174" t="str">
            <v>Přev.z ostat. vlastních fondů</v>
          </cell>
        </row>
        <row r="175">
          <cell r="A175">
            <v>4133</v>
          </cell>
          <cell r="B175" t="str">
            <v>Převody z vl.rezervních fondů</v>
          </cell>
        </row>
        <row r="176">
          <cell r="A176">
            <v>4134</v>
          </cell>
          <cell r="B176" t="str">
            <v>Převody z rozpočtových účtů</v>
          </cell>
        </row>
        <row r="177">
          <cell r="A177">
            <v>4135</v>
          </cell>
          <cell r="B177" t="str">
            <v>Převody z rezervních fondů OSS</v>
          </cell>
        </row>
        <row r="178">
          <cell r="A178">
            <v>4136</v>
          </cell>
          <cell r="B178" t="str">
            <v>Převody z jiných fondů OSS</v>
          </cell>
        </row>
        <row r="179">
          <cell r="A179">
            <v>4138</v>
          </cell>
          <cell r="B179" t="str">
            <v>Převody z vlatní pokladny</v>
          </cell>
        </row>
        <row r="180">
          <cell r="A180">
            <v>4139</v>
          </cell>
          <cell r="B180" t="str">
            <v>Ost.převody z vlastních fondů</v>
          </cell>
        </row>
        <row r="181">
          <cell r="A181">
            <v>4151</v>
          </cell>
          <cell r="B181" t="str">
            <v>Neinv.přij.transf.od ciz.stát</v>
          </cell>
        </row>
        <row r="182">
          <cell r="A182">
            <v>4152</v>
          </cell>
          <cell r="B182" t="str">
            <v>Neinv.přij.tran.-mezinár.inst</v>
          </cell>
        </row>
        <row r="183">
          <cell r="A183">
            <v>4153</v>
          </cell>
          <cell r="B183" t="str">
            <v>Neinv.transfery přijaté od EU</v>
          </cell>
        </row>
        <row r="184">
          <cell r="A184">
            <v>4154</v>
          </cell>
          <cell r="B184" t="str">
            <v>Přij.kompenz.platby z rozp.EU</v>
          </cell>
        </row>
        <row r="185">
          <cell r="A185">
            <v>4159</v>
          </cell>
          <cell r="B185" t="str">
            <v>Ost.neinv.přij.transf.ze zahr.</v>
          </cell>
        </row>
        <row r="186">
          <cell r="A186">
            <v>4160</v>
          </cell>
          <cell r="B186" t="str">
            <v>Neinv.přijaté transfery ze SFA</v>
          </cell>
        </row>
        <row r="187">
          <cell r="A187">
            <v>4211</v>
          </cell>
          <cell r="B187" t="str">
            <v>Invest.přijaté transf.z VPS SR</v>
          </cell>
        </row>
        <row r="188">
          <cell r="A188">
            <v>4212</v>
          </cell>
          <cell r="B188" t="str">
            <v>Inv.př.tran.ze SR -s.dot.vztah</v>
          </cell>
        </row>
        <row r="189">
          <cell r="A189">
            <v>4213</v>
          </cell>
          <cell r="B189" t="str">
            <v>Inv. přijaté transfery ze SF</v>
          </cell>
        </row>
        <row r="190">
          <cell r="A190">
            <v>4214</v>
          </cell>
          <cell r="B190" t="str">
            <v>Inv.přij.tran.ze zvl.f.ústř.ú.</v>
          </cell>
        </row>
        <row r="191">
          <cell r="A191">
            <v>4216</v>
          </cell>
          <cell r="B191" t="str">
            <v>Ost.invest.přij.transf.ze SR</v>
          </cell>
        </row>
        <row r="192">
          <cell r="A192">
            <v>4218</v>
          </cell>
          <cell r="B192" t="str">
            <v>Investiční převody z NF</v>
          </cell>
        </row>
        <row r="193">
          <cell r="A193">
            <v>4219</v>
          </cell>
          <cell r="B193" t="str">
            <v>Invest.př.transf.od VR ústř.ú.</v>
          </cell>
        </row>
        <row r="194">
          <cell r="A194">
            <v>4221</v>
          </cell>
          <cell r="B194" t="str">
            <v>Invest.přijaté transf.od obcí</v>
          </cell>
        </row>
        <row r="195">
          <cell r="A195">
            <v>4222</v>
          </cell>
          <cell r="B195" t="str">
            <v>Invest.přijaté transf.od krajů</v>
          </cell>
        </row>
        <row r="196">
          <cell r="A196">
            <v>4223</v>
          </cell>
          <cell r="B196" t="str">
            <v>Invest.přij.transf.od reg.rad</v>
          </cell>
        </row>
        <row r="197">
          <cell r="A197">
            <v>4229</v>
          </cell>
          <cell r="B197" t="str">
            <v>Ost.inv.př.transf.od r.územ.ú.</v>
          </cell>
        </row>
        <row r="198">
          <cell r="A198">
            <v>4231</v>
          </cell>
          <cell r="B198" t="str">
            <v>Inv.přij.tran.od cizich států</v>
          </cell>
        </row>
        <row r="199">
          <cell r="A199">
            <v>4232</v>
          </cell>
          <cell r="B199" t="str">
            <v>Inv.př.transf.od mezinár.inst.</v>
          </cell>
        </row>
        <row r="200">
          <cell r="A200">
            <v>4233</v>
          </cell>
          <cell r="B200" t="str">
            <v>Invest.transfery přijaté od EU</v>
          </cell>
        </row>
        <row r="201">
          <cell r="A201">
            <v>4240</v>
          </cell>
          <cell r="B201" t="str">
            <v>Invest.přijaté transf.ze SFA</v>
          </cell>
        </row>
        <row r="202">
          <cell r="A202">
            <v>5011</v>
          </cell>
          <cell r="B202" t="str">
            <v>Platy zaměst. v prac. poměru</v>
          </cell>
        </row>
        <row r="203">
          <cell r="A203">
            <v>5012</v>
          </cell>
          <cell r="B203" t="str">
            <v>Pl.zam.ozb.sb.a sl.ve sl.pom</v>
          </cell>
        </row>
        <row r="204">
          <cell r="A204">
            <v>5013</v>
          </cell>
          <cell r="B204" t="str">
            <v>Platy stat.zaměst.ve spr.úřad</v>
          </cell>
        </row>
        <row r="205">
          <cell r="A205">
            <v>5014</v>
          </cell>
          <cell r="B205" t="str">
            <v>Pl.zam.v pr.pom.od.od pl.ús.č</v>
          </cell>
        </row>
        <row r="206">
          <cell r="A206">
            <v>5019</v>
          </cell>
          <cell r="B206" t="str">
            <v>Ostatní platy</v>
          </cell>
        </row>
        <row r="207">
          <cell r="A207">
            <v>5021</v>
          </cell>
          <cell r="B207" t="str">
            <v>Ostatní osobní výdaje</v>
          </cell>
        </row>
        <row r="208">
          <cell r="A208">
            <v>5022</v>
          </cell>
          <cell r="B208" t="str">
            <v>Platy představitelů stát.moci</v>
          </cell>
        </row>
        <row r="209">
          <cell r="A209">
            <v>5023</v>
          </cell>
          <cell r="B209" t="str">
            <v>Odměny čl.zastup.obcí a krajů</v>
          </cell>
        </row>
        <row r="210">
          <cell r="A210">
            <v>5024</v>
          </cell>
          <cell r="B210" t="str">
            <v>Odstupné</v>
          </cell>
        </row>
        <row r="211">
          <cell r="A211">
            <v>5025</v>
          </cell>
          <cell r="B211" t="str">
            <v>Odbytné</v>
          </cell>
        </row>
        <row r="212">
          <cell r="A212">
            <v>5026</v>
          </cell>
          <cell r="B212" t="str">
            <v>Odchodné</v>
          </cell>
        </row>
        <row r="213">
          <cell r="A213">
            <v>5027</v>
          </cell>
          <cell r="B213" t="str">
            <v>Nál.osob vykonáv.voj.cvičení..</v>
          </cell>
        </row>
        <row r="214">
          <cell r="A214">
            <v>5029</v>
          </cell>
          <cell r="B214" t="str">
            <v>Ost.platby za prov.prac.j.n.</v>
          </cell>
        </row>
        <row r="215">
          <cell r="A215">
            <v>5031</v>
          </cell>
          <cell r="B215" t="str">
            <v>Pov.pojistné na soc.zab...</v>
          </cell>
        </row>
        <row r="216">
          <cell r="A216">
            <v>5032</v>
          </cell>
          <cell r="B216" t="str">
            <v>Pov.pojistné na veř.zdrav.poj.</v>
          </cell>
        </row>
        <row r="217">
          <cell r="A217">
            <v>5038</v>
          </cell>
          <cell r="B217" t="str">
            <v>Povinné pojistné na úraz.poj.</v>
          </cell>
        </row>
        <row r="218">
          <cell r="A218">
            <v>5039</v>
          </cell>
          <cell r="B218" t="str">
            <v>Ost.pov.poj.placené zaměstnav.</v>
          </cell>
        </row>
        <row r="219">
          <cell r="A219">
            <v>5041</v>
          </cell>
          <cell r="B219" t="str">
            <v>Odměny za užití dušev.vlastn.</v>
          </cell>
        </row>
        <row r="220">
          <cell r="A220">
            <v>5051</v>
          </cell>
          <cell r="B220" t="str">
            <v>Mzdové náhrady</v>
          </cell>
        </row>
        <row r="221">
          <cell r="A221">
            <v>5131</v>
          </cell>
          <cell r="B221" t="str">
            <v>Potraviny</v>
          </cell>
        </row>
        <row r="222">
          <cell r="A222">
            <v>5132</v>
          </cell>
          <cell r="B222" t="str">
            <v>Ochranné pomůcky</v>
          </cell>
        </row>
        <row r="223">
          <cell r="A223">
            <v>5133</v>
          </cell>
          <cell r="B223" t="str">
            <v>Léky a zdravotnický materiál</v>
          </cell>
        </row>
        <row r="224">
          <cell r="A224">
            <v>5134</v>
          </cell>
          <cell r="B224" t="str">
            <v>Prádlo, oděv a obuv</v>
          </cell>
        </row>
        <row r="225">
          <cell r="A225">
            <v>5135</v>
          </cell>
          <cell r="B225" t="str">
            <v>Učebnice a bezpl.šk.potřeby</v>
          </cell>
        </row>
        <row r="226">
          <cell r="A226">
            <v>5136</v>
          </cell>
          <cell r="B226" t="str">
            <v>Knihy, učební pomůcky a tisk</v>
          </cell>
        </row>
        <row r="227">
          <cell r="A227">
            <v>5137</v>
          </cell>
          <cell r="B227" t="str">
            <v>DHDM</v>
          </cell>
        </row>
        <row r="228">
          <cell r="A228">
            <v>5138</v>
          </cell>
          <cell r="B228" t="str">
            <v>Nákup zboží</v>
          </cell>
        </row>
        <row r="229">
          <cell r="A229">
            <v>5139</v>
          </cell>
          <cell r="B229" t="str">
            <v>Nákup materiálu j.n.</v>
          </cell>
        </row>
        <row r="230">
          <cell r="A230">
            <v>5141</v>
          </cell>
          <cell r="B230" t="str">
            <v>Úroky vlastní</v>
          </cell>
        </row>
        <row r="231">
          <cell r="A231">
            <v>5142</v>
          </cell>
          <cell r="B231" t="str">
            <v>Realizované kurzové ztráty</v>
          </cell>
        </row>
        <row r="232">
          <cell r="A232">
            <v>5143</v>
          </cell>
          <cell r="B232" t="str">
            <v>Úroky z převz.cizích závazků</v>
          </cell>
        </row>
        <row r="233">
          <cell r="A233">
            <v>5144</v>
          </cell>
          <cell r="B233" t="str">
            <v>Poplatky dluhové služby</v>
          </cell>
        </row>
        <row r="234">
          <cell r="A234">
            <v>5145</v>
          </cell>
          <cell r="B234" t="str">
            <v>Finanční deriváty</v>
          </cell>
        </row>
        <row r="235">
          <cell r="A235">
            <v>5149</v>
          </cell>
          <cell r="B235" t="str">
            <v>Ost. úroky a ost. fin. výdaje</v>
          </cell>
        </row>
        <row r="236">
          <cell r="A236">
            <v>5151</v>
          </cell>
          <cell r="B236" t="str">
            <v>Studená voda</v>
          </cell>
        </row>
        <row r="237">
          <cell r="A237">
            <v>5152</v>
          </cell>
          <cell r="B237" t="str">
            <v>Teplo</v>
          </cell>
        </row>
        <row r="238">
          <cell r="A238">
            <v>5153</v>
          </cell>
          <cell r="B238" t="str">
            <v>Plyn</v>
          </cell>
        </row>
        <row r="239">
          <cell r="A239">
            <v>5154</v>
          </cell>
          <cell r="B239" t="str">
            <v>Elektrická energie</v>
          </cell>
        </row>
        <row r="240">
          <cell r="A240">
            <v>5155</v>
          </cell>
          <cell r="B240" t="str">
            <v>Pevná paliva</v>
          </cell>
        </row>
        <row r="241">
          <cell r="A241">
            <v>5156</v>
          </cell>
          <cell r="B241" t="str">
            <v>Pohonné hmoty a maziva</v>
          </cell>
        </row>
        <row r="242">
          <cell r="A242">
            <v>5157</v>
          </cell>
          <cell r="B242" t="str">
            <v>Teplá voda</v>
          </cell>
        </row>
        <row r="243">
          <cell r="A243">
            <v>5159</v>
          </cell>
          <cell r="B243" t="str">
            <v>Nákup ostat. paliv a energie</v>
          </cell>
        </row>
        <row r="244">
          <cell r="A244">
            <v>5161</v>
          </cell>
          <cell r="B244" t="str">
            <v>Služby pošt</v>
          </cell>
        </row>
        <row r="245">
          <cell r="A245">
            <v>5162</v>
          </cell>
          <cell r="B245" t="str">
            <v>Služby telekom. a radiokom.</v>
          </cell>
        </row>
        <row r="246">
          <cell r="A246">
            <v>5163</v>
          </cell>
          <cell r="B246" t="str">
            <v>Služby peněžních ústavů</v>
          </cell>
        </row>
        <row r="247">
          <cell r="A247">
            <v>5164</v>
          </cell>
          <cell r="B247" t="str">
            <v>Nájemné</v>
          </cell>
        </row>
        <row r="248">
          <cell r="A248">
            <v>5165</v>
          </cell>
          <cell r="B248" t="str">
            <v>Nájemné za půdu</v>
          </cell>
        </row>
        <row r="249">
          <cell r="A249">
            <v>5166</v>
          </cell>
          <cell r="B249" t="str">
            <v>Konzult.,porad.a práv.služby</v>
          </cell>
        </row>
        <row r="250">
          <cell r="A250">
            <v>5167</v>
          </cell>
          <cell r="B250" t="str">
            <v>Služby školení a vzdělávání</v>
          </cell>
        </row>
        <row r="251">
          <cell r="A251">
            <v>5168</v>
          </cell>
          <cell r="B251" t="str">
            <v>Služby zpracování dat</v>
          </cell>
        </row>
        <row r="252">
          <cell r="A252">
            <v>5169</v>
          </cell>
          <cell r="B252" t="str">
            <v>Nákup ostatních služeb</v>
          </cell>
        </row>
        <row r="253">
          <cell r="A253">
            <v>5171</v>
          </cell>
          <cell r="B253" t="str">
            <v>Opravy a udržování</v>
          </cell>
        </row>
        <row r="254">
          <cell r="A254">
            <v>5172</v>
          </cell>
          <cell r="B254" t="str">
            <v>Programové vybavení</v>
          </cell>
        </row>
        <row r="255">
          <cell r="A255">
            <v>5173</v>
          </cell>
          <cell r="B255" t="str">
            <v>Cestovné (tuzem.i zahranič.)</v>
          </cell>
        </row>
        <row r="256">
          <cell r="A256">
            <v>5175</v>
          </cell>
          <cell r="B256" t="str">
            <v>Pohoštění</v>
          </cell>
        </row>
        <row r="257">
          <cell r="A257">
            <v>5176</v>
          </cell>
          <cell r="B257" t="str">
            <v>Účast. poplatky na konference</v>
          </cell>
        </row>
        <row r="258">
          <cell r="A258">
            <v>5177</v>
          </cell>
          <cell r="B258" t="str">
            <v>Nákup uměleckých předmětů</v>
          </cell>
        </row>
        <row r="259">
          <cell r="A259">
            <v>5178</v>
          </cell>
          <cell r="B259" t="str">
            <v>Nájemné za náj. s právem koupě</v>
          </cell>
        </row>
        <row r="260">
          <cell r="A260">
            <v>5179</v>
          </cell>
          <cell r="B260" t="str">
            <v>Ostatní nákupy j.n.</v>
          </cell>
        </row>
        <row r="261">
          <cell r="A261">
            <v>5181</v>
          </cell>
          <cell r="B261" t="str">
            <v>Poskytnuté zál.vnitř.org.jedn.</v>
          </cell>
        </row>
        <row r="262">
          <cell r="A262">
            <v>5182</v>
          </cell>
          <cell r="B262" t="str">
            <v>Poskytované zálohy vl.pokladně</v>
          </cell>
        </row>
        <row r="263">
          <cell r="A263">
            <v>5183</v>
          </cell>
          <cell r="B263" t="str">
            <v>Výdaje na realizaci záruk</v>
          </cell>
        </row>
        <row r="264">
          <cell r="A264">
            <v>5184</v>
          </cell>
          <cell r="B264" t="str">
            <v>Výdaje na vládní úvěry</v>
          </cell>
        </row>
        <row r="265">
          <cell r="A265">
            <v>5189</v>
          </cell>
          <cell r="B265" t="str">
            <v>Ostat.poskyt.zálohy a jistiny</v>
          </cell>
        </row>
        <row r="266">
          <cell r="A266">
            <v>5191</v>
          </cell>
          <cell r="B266" t="str">
            <v>Zaplacené sankce</v>
          </cell>
        </row>
        <row r="267">
          <cell r="A267">
            <v>5192</v>
          </cell>
          <cell r="B267" t="str">
            <v>Poskyt.neinv.příspěvky,náhrady</v>
          </cell>
        </row>
        <row r="268">
          <cell r="A268">
            <v>5193</v>
          </cell>
          <cell r="B268" t="str">
            <v>Výd.na dopravní úz.obslužnost</v>
          </cell>
        </row>
        <row r="269">
          <cell r="A269">
            <v>5194</v>
          </cell>
          <cell r="B269" t="str">
            <v>Věcné dary</v>
          </cell>
        </row>
        <row r="270">
          <cell r="A270">
            <v>5195</v>
          </cell>
          <cell r="B270" t="str">
            <v>Odvody-nezaměstnání zdrav.post</v>
          </cell>
        </row>
        <row r="271">
          <cell r="A271">
            <v>5196</v>
          </cell>
          <cell r="B271" t="str">
            <v>Náh.a přís.-úst.fun.a fun.soud</v>
          </cell>
        </row>
        <row r="272">
          <cell r="A272">
            <v>5197</v>
          </cell>
          <cell r="B272" t="str">
            <v>Náhr.zvýš.nákl.-funkce v zahr.</v>
          </cell>
        </row>
        <row r="273">
          <cell r="A273">
            <v>5199</v>
          </cell>
          <cell r="B273" t="str">
            <v>Výdaje souvis. s neinv.nákupy</v>
          </cell>
        </row>
        <row r="274">
          <cell r="A274">
            <v>5211</v>
          </cell>
          <cell r="B274" t="str">
            <v>Neinv.transf.finanč.institucím</v>
          </cell>
        </row>
        <row r="275">
          <cell r="A275">
            <v>5212</v>
          </cell>
          <cell r="B275" t="str">
            <v>Neinv.transf.fyz.osobám</v>
          </cell>
        </row>
        <row r="276">
          <cell r="A276">
            <v>5213</v>
          </cell>
          <cell r="B276" t="str">
            <v>Neinv.transf.právnickým osobám</v>
          </cell>
        </row>
        <row r="277">
          <cell r="A277">
            <v>5214</v>
          </cell>
          <cell r="B277" t="str">
            <v>Neinv.transf.fin.a podob.inst.</v>
          </cell>
        </row>
        <row r="278">
          <cell r="A278">
            <v>5215</v>
          </cell>
          <cell r="B278" t="str">
            <v>Neinv.transf.vybr.podnik.subj.</v>
          </cell>
        </row>
        <row r="279">
          <cell r="A279">
            <v>5219</v>
          </cell>
          <cell r="B279" t="str">
            <v>Ostat.neinv.trans.podnik.subj.</v>
          </cell>
        </row>
        <row r="280">
          <cell r="A280">
            <v>5221</v>
          </cell>
          <cell r="B280" t="str">
            <v>Neinv.tra.obec.prospěš.společ.</v>
          </cell>
        </row>
        <row r="281">
          <cell r="A281">
            <v>5222</v>
          </cell>
          <cell r="B281" t="str">
            <v>Neinv.transf.občan.sdružením</v>
          </cell>
        </row>
        <row r="282">
          <cell r="A282">
            <v>5223</v>
          </cell>
          <cell r="B282" t="str">
            <v>Neinv.transf.církvím,náb.spol.</v>
          </cell>
        </row>
        <row r="283">
          <cell r="A283">
            <v>5224</v>
          </cell>
          <cell r="B283" t="str">
            <v>Neinv.tra.polit.stranám,hnutím</v>
          </cell>
        </row>
        <row r="284">
          <cell r="A284">
            <v>5225</v>
          </cell>
          <cell r="B284" t="str">
            <v>Neinv.tra.společ.vl.jednotek</v>
          </cell>
        </row>
        <row r="285">
          <cell r="A285">
            <v>5229</v>
          </cell>
          <cell r="B285" t="str">
            <v>Ost.neinv.tra.nezisk.a pod.org</v>
          </cell>
        </row>
        <row r="286">
          <cell r="A286">
            <v>5230</v>
          </cell>
          <cell r="B286" t="str">
            <v>Neinv.nedotač.transfery p.subj</v>
          </cell>
        </row>
        <row r="287">
          <cell r="A287">
            <v>5240</v>
          </cell>
          <cell r="B287" t="str">
            <v>Neinv.nedot.transfery nezisk.o</v>
          </cell>
        </row>
        <row r="288">
          <cell r="A288">
            <v>5250</v>
          </cell>
          <cell r="B288" t="str">
            <v>Refundace poloviny náhr.mzdy</v>
          </cell>
        </row>
        <row r="289">
          <cell r="A289">
            <v>5311</v>
          </cell>
          <cell r="B289" t="str">
            <v>Neinv.transfery stát. rozpočtu</v>
          </cell>
        </row>
        <row r="290">
          <cell r="A290">
            <v>5312</v>
          </cell>
          <cell r="B290" t="str">
            <v>Neinv.transfery státním fondům</v>
          </cell>
        </row>
        <row r="291">
          <cell r="A291">
            <v>5313</v>
          </cell>
          <cell r="B291" t="str">
            <v>Neinv.transf.zvl.fondům ústř.ú</v>
          </cell>
        </row>
        <row r="292">
          <cell r="A292">
            <v>5314</v>
          </cell>
          <cell r="B292" t="str">
            <v>Neinv.tr.f.soc.a veř.zdr.poj.</v>
          </cell>
        </row>
        <row r="293">
          <cell r="A293">
            <v>5315</v>
          </cell>
          <cell r="B293" t="str">
            <v>Odvod daně za zaměstnance</v>
          </cell>
        </row>
        <row r="294">
          <cell r="A294">
            <v>5316</v>
          </cell>
          <cell r="B294" t="str">
            <v>Odvod poj.na soc.zab.,...</v>
          </cell>
        </row>
        <row r="295">
          <cell r="A295">
            <v>5317</v>
          </cell>
          <cell r="B295" t="str">
            <v>Odvod poj.na veř.zdrav.poj.</v>
          </cell>
        </row>
        <row r="296">
          <cell r="A296">
            <v>5318</v>
          </cell>
          <cell r="B296" t="str">
            <v>NIV transfery prostř. do SFA</v>
          </cell>
        </row>
        <row r="297">
          <cell r="A297">
            <v>5319</v>
          </cell>
          <cell r="B297" t="str">
            <v>Ost.neinvest.transfery JVR</v>
          </cell>
        </row>
        <row r="298">
          <cell r="A298">
            <v>5321</v>
          </cell>
          <cell r="B298" t="str">
            <v>Neinvestiční transfery obcím</v>
          </cell>
        </row>
        <row r="299">
          <cell r="A299">
            <v>5322</v>
          </cell>
          <cell r="B299" t="str">
            <v>Neinv.transf.obcím-s.dot.vztah</v>
          </cell>
        </row>
        <row r="300">
          <cell r="A300">
            <v>5323</v>
          </cell>
          <cell r="B300" t="str">
            <v>Neinvestiční transfery krajům</v>
          </cell>
        </row>
        <row r="301">
          <cell r="A301">
            <v>5324</v>
          </cell>
          <cell r="B301" t="str">
            <v>Neinv.trans.krajům-s.dot.vztah</v>
          </cell>
        </row>
        <row r="302">
          <cell r="A302">
            <v>5325</v>
          </cell>
          <cell r="B302" t="str">
            <v>Neinv.transfery region.radám</v>
          </cell>
        </row>
        <row r="303">
          <cell r="A303">
            <v>5329</v>
          </cell>
          <cell r="B303" t="str">
            <v>Ost.neinv.transfery VR územ.ú.</v>
          </cell>
        </row>
        <row r="304">
          <cell r="A304">
            <v>5331</v>
          </cell>
          <cell r="B304" t="str">
            <v>Neinv.příspěvky zřízeným PO</v>
          </cell>
        </row>
        <row r="305">
          <cell r="A305">
            <v>5332</v>
          </cell>
          <cell r="B305" t="str">
            <v>Neinv.transfery vys. školám</v>
          </cell>
        </row>
        <row r="306">
          <cell r="A306">
            <v>5333</v>
          </cell>
          <cell r="B306" t="str">
            <v>Neinv.transfery šk.práv.os....</v>
          </cell>
        </row>
        <row r="307">
          <cell r="A307">
            <v>5334</v>
          </cell>
          <cell r="B307" t="str">
            <v>Neinv.transf.veř.výzk.instit.</v>
          </cell>
        </row>
        <row r="308">
          <cell r="A308">
            <v>5335</v>
          </cell>
          <cell r="B308" t="str">
            <v>Neinv.transf.veř.zdrav.zař...</v>
          </cell>
        </row>
        <row r="309">
          <cell r="A309">
            <v>5339</v>
          </cell>
          <cell r="B309" t="str">
            <v>Neinv.příspěvky ostatním PO</v>
          </cell>
        </row>
        <row r="310">
          <cell r="A310">
            <v>5341</v>
          </cell>
          <cell r="B310" t="str">
            <v>Převody vlast.fondům hosp.čin.</v>
          </cell>
        </row>
        <row r="311">
          <cell r="A311">
            <v>5342</v>
          </cell>
          <cell r="B311" t="str">
            <v>Převody FKSP a SF obcí, krajů</v>
          </cell>
        </row>
        <row r="312">
          <cell r="A312">
            <v>5343</v>
          </cell>
          <cell r="B312" t="str">
            <v>Přev.j.vl.fondům, účtům</v>
          </cell>
        </row>
        <row r="313">
          <cell r="A313">
            <v>5344</v>
          </cell>
          <cell r="B313" t="str">
            <v>Převody vl.rez.fondům úz.rozp.</v>
          </cell>
        </row>
        <row r="314">
          <cell r="A314">
            <v>5345</v>
          </cell>
          <cell r="B314" t="str">
            <v>Převody vlastním rozpočt.účtům</v>
          </cell>
        </row>
        <row r="315">
          <cell r="A315">
            <v>5346</v>
          </cell>
          <cell r="B315" t="str">
            <v>Převody do fondů OSS</v>
          </cell>
        </row>
        <row r="316">
          <cell r="A316">
            <v>5348</v>
          </cell>
          <cell r="B316" t="str">
            <v>Převody do vlastní pokladny</v>
          </cell>
        </row>
        <row r="317">
          <cell r="A317">
            <v>5349</v>
          </cell>
          <cell r="B317" t="str">
            <v>Ostat. převody vlastním fondům</v>
          </cell>
        </row>
        <row r="318">
          <cell r="A318">
            <v>5361</v>
          </cell>
          <cell r="B318" t="str">
            <v>Nákup kolků</v>
          </cell>
        </row>
        <row r="319">
          <cell r="A319">
            <v>5362</v>
          </cell>
          <cell r="B319" t="str">
            <v>Platby daní a poplatků SR</v>
          </cell>
        </row>
        <row r="320">
          <cell r="A320">
            <v>5363</v>
          </cell>
          <cell r="B320" t="str">
            <v>Úhrady sankcí jiným rozpočtům</v>
          </cell>
        </row>
        <row r="321">
          <cell r="A321">
            <v>5364</v>
          </cell>
          <cell r="B321" t="str">
            <v>Vrat.VR ú.ú.transf.-min.obd.</v>
          </cell>
        </row>
        <row r="322">
          <cell r="A322">
            <v>5365</v>
          </cell>
          <cell r="B322" t="str">
            <v>Platby daní a popl.kraj.,obc..</v>
          </cell>
        </row>
        <row r="323">
          <cell r="A323">
            <v>5366</v>
          </cell>
          <cell r="B323" t="str">
            <v>Výdaje z FV min.let kraj-obec</v>
          </cell>
        </row>
        <row r="324">
          <cell r="A324">
            <v>5367</v>
          </cell>
          <cell r="B324" t="str">
            <v>Výdaje z FV min.let obec-obec</v>
          </cell>
        </row>
        <row r="325">
          <cell r="A325">
            <v>5368</v>
          </cell>
          <cell r="B325" t="str">
            <v>Výdaje z FV min.let regio-obec</v>
          </cell>
        </row>
        <row r="326">
          <cell r="A326">
            <v>5369</v>
          </cell>
          <cell r="B326" t="str">
            <v>Ost.neinv.transfery JVR</v>
          </cell>
        </row>
        <row r="327">
          <cell r="A327">
            <v>5410</v>
          </cell>
          <cell r="B327" t="str">
            <v>Sociální dávky</v>
          </cell>
        </row>
        <row r="328">
          <cell r="A328">
            <v>5421</v>
          </cell>
          <cell r="B328" t="str">
            <v>Náhrady z úrazového pojištění</v>
          </cell>
        </row>
        <row r="329">
          <cell r="A329">
            <v>5422</v>
          </cell>
          <cell r="B329" t="str">
            <v>Náhrady povahy rehabilitací</v>
          </cell>
        </row>
        <row r="330">
          <cell r="A330">
            <v>5423</v>
          </cell>
          <cell r="B330" t="str">
            <v>Náhrady mezd-zák.118/2000 Sb.</v>
          </cell>
        </row>
        <row r="331">
          <cell r="A331">
            <v>5424</v>
          </cell>
          <cell r="B331" t="str">
            <v>Náhrady mezd v době nemoci</v>
          </cell>
        </row>
        <row r="332">
          <cell r="A332">
            <v>5429</v>
          </cell>
          <cell r="B332" t="str">
            <v>Ost.náhrady plac.obyvatelstvu</v>
          </cell>
        </row>
        <row r="333">
          <cell r="A333">
            <v>5491</v>
          </cell>
          <cell r="B333" t="str">
            <v>Stipendia žákům,stud.,doktora.</v>
          </cell>
        </row>
        <row r="334">
          <cell r="A334">
            <v>5492</v>
          </cell>
          <cell r="B334" t="str">
            <v>Dary obyvatelstvu</v>
          </cell>
        </row>
        <row r="335">
          <cell r="A335">
            <v>5493</v>
          </cell>
          <cell r="B335" t="str">
            <v>Účel.neinv.transf.nepodn.fyz.o</v>
          </cell>
        </row>
        <row r="336">
          <cell r="A336">
            <v>5494</v>
          </cell>
          <cell r="B336" t="str">
            <v>Neinv.transfery obyvatelstvu</v>
          </cell>
        </row>
        <row r="337">
          <cell r="A337">
            <v>5499</v>
          </cell>
          <cell r="B337" t="str">
            <v>Ost.neinv.transf.obyvatelstvu</v>
          </cell>
        </row>
        <row r="338">
          <cell r="A338">
            <v>5511</v>
          </cell>
          <cell r="B338" t="str">
            <v>Neinv.transfery mezinár.organ.</v>
          </cell>
        </row>
        <row r="339">
          <cell r="A339">
            <v>5512</v>
          </cell>
          <cell r="B339" t="str">
            <v>Neinv.transf.nadnárod.orgánům</v>
          </cell>
        </row>
        <row r="340">
          <cell r="A340">
            <v>5513</v>
          </cell>
          <cell r="B340" t="str">
            <v>Vratky neopr.použ.prostř. ES</v>
          </cell>
        </row>
        <row r="341">
          <cell r="A341">
            <v>5514</v>
          </cell>
          <cell r="B341" t="str">
            <v>Odvody vl.zdr.do rozp.EU-DPH</v>
          </cell>
        </row>
        <row r="342">
          <cell r="A342">
            <v>5515</v>
          </cell>
          <cell r="B342" t="str">
            <v>Odvody vl.zdr.do rozp.EU-HNP</v>
          </cell>
        </row>
        <row r="343">
          <cell r="A343">
            <v>5520</v>
          </cell>
          <cell r="B343" t="str">
            <v>Neinv.transfery cizím státům</v>
          </cell>
        </row>
        <row r="344">
          <cell r="A344">
            <v>5531</v>
          </cell>
          <cell r="B344" t="str">
            <v>Peněžní dary do zahraniční</v>
          </cell>
        </row>
        <row r="345">
          <cell r="A345">
            <v>5532</v>
          </cell>
          <cell r="B345" t="str">
            <v>Ost.neinv.transf.do zahraničí</v>
          </cell>
        </row>
        <row r="346">
          <cell r="A346">
            <v>5611</v>
          </cell>
          <cell r="B346" t="str">
            <v>Neinv.půj.prostř.fin.instit.</v>
          </cell>
        </row>
        <row r="347">
          <cell r="A347">
            <v>5612</v>
          </cell>
          <cell r="B347" t="str">
            <v>Neinv.půj.prostř.-fyz.osobám</v>
          </cell>
        </row>
        <row r="348">
          <cell r="A348">
            <v>5613</v>
          </cell>
          <cell r="B348" t="str">
            <v>Neinv.půj.prostř.-práv.osobám</v>
          </cell>
        </row>
        <row r="349">
          <cell r="A349">
            <v>5614</v>
          </cell>
          <cell r="B349" t="str">
            <v>Neinv.půj.prostř.-fin.instit.</v>
          </cell>
        </row>
        <row r="350">
          <cell r="A350">
            <v>5615</v>
          </cell>
          <cell r="B350" t="str">
            <v>Neinv.půj.prostř.-podn.subj.</v>
          </cell>
        </row>
        <row r="351">
          <cell r="A351">
            <v>5619</v>
          </cell>
          <cell r="B351" t="str">
            <v>Ost.neinv.p.prostř.podn.subj.</v>
          </cell>
        </row>
        <row r="352">
          <cell r="A352">
            <v>5621</v>
          </cell>
          <cell r="B352" t="str">
            <v>Neinv.p.prostř.obec.prosp.spol</v>
          </cell>
        </row>
        <row r="353">
          <cell r="A353">
            <v>5622</v>
          </cell>
          <cell r="B353" t="str">
            <v>Neinv.půjčené prostř. OS</v>
          </cell>
        </row>
        <row r="354">
          <cell r="A354">
            <v>5623</v>
          </cell>
          <cell r="B354" t="str">
            <v>Neinv.p.p.církvím,náb.spol.</v>
          </cell>
        </row>
        <row r="355">
          <cell r="A355">
            <v>5624</v>
          </cell>
          <cell r="B355" t="str">
            <v>Neinv.p.p. spol.vlast.jednotek</v>
          </cell>
        </row>
        <row r="356">
          <cell r="A356">
            <v>5629</v>
          </cell>
          <cell r="B356" t="str">
            <v>Ost.neinv.p.p.nezisk.a pod.org</v>
          </cell>
        </row>
        <row r="357">
          <cell r="A357">
            <v>5631</v>
          </cell>
          <cell r="B357" t="str">
            <v>Neinv.půjčené prostředky SR</v>
          </cell>
        </row>
        <row r="358">
          <cell r="A358">
            <v>5632</v>
          </cell>
          <cell r="B358" t="str">
            <v>Neinv.půjčené prostředky SF</v>
          </cell>
        </row>
        <row r="359">
          <cell r="A359">
            <v>5633</v>
          </cell>
          <cell r="B359" t="str">
            <v>Neinv.p.p.zvl.fondům ústř.ú</v>
          </cell>
        </row>
        <row r="360">
          <cell r="A360">
            <v>5634</v>
          </cell>
          <cell r="B360" t="str">
            <v>Neinv.p.p.fond.soc.zdrav.poj.</v>
          </cell>
        </row>
        <row r="361">
          <cell r="A361">
            <v>5639</v>
          </cell>
          <cell r="B361" t="str">
            <v>Ost.neinv.půjčené prostř.JVR</v>
          </cell>
        </row>
        <row r="362">
          <cell r="A362">
            <v>5641</v>
          </cell>
          <cell r="B362" t="str">
            <v>Neinvest.půjčené prostř.obcím</v>
          </cell>
        </row>
        <row r="363">
          <cell r="A363">
            <v>5642</v>
          </cell>
          <cell r="B363" t="str">
            <v>Neinvest. půjč.prostř. krajům</v>
          </cell>
        </row>
        <row r="364">
          <cell r="A364">
            <v>5643</v>
          </cell>
          <cell r="B364" t="str">
            <v>Neinvest. půjč.prostř.reg.rad.</v>
          </cell>
        </row>
        <row r="365">
          <cell r="A365">
            <v>5649</v>
          </cell>
          <cell r="B365" t="str">
            <v>Ost.neinv.půjč.prostř.VR úz.ú.</v>
          </cell>
        </row>
        <row r="366">
          <cell r="A366">
            <v>5651</v>
          </cell>
          <cell r="B366" t="str">
            <v>Neinv.půjč.prostř.zřízeným PO</v>
          </cell>
        </row>
        <row r="367">
          <cell r="A367">
            <v>5652</v>
          </cell>
          <cell r="B367" t="str">
            <v>Neinv. p.p. vysokým školám</v>
          </cell>
        </row>
        <row r="368">
          <cell r="A368">
            <v>5659</v>
          </cell>
          <cell r="B368" t="str">
            <v>Neinvest.p.p. ostatním PO</v>
          </cell>
        </row>
        <row r="369">
          <cell r="A369">
            <v>5660</v>
          </cell>
          <cell r="B369" t="str">
            <v>Neinvest.p.p. obyvatelstvu</v>
          </cell>
        </row>
        <row r="370">
          <cell r="A370">
            <v>5670</v>
          </cell>
          <cell r="B370" t="str">
            <v>Neinvest.p.p. do zahraničí</v>
          </cell>
        </row>
        <row r="371">
          <cell r="A371">
            <v>5710</v>
          </cell>
          <cell r="B371" t="str">
            <v>Přev. NF na spolufin.pr.Phare</v>
          </cell>
        </row>
        <row r="372">
          <cell r="A372">
            <v>5720</v>
          </cell>
          <cell r="B372" t="str">
            <v>Přev. NF na spolufin.pr.Ispa</v>
          </cell>
        </row>
        <row r="373">
          <cell r="A373">
            <v>5730</v>
          </cell>
          <cell r="B373" t="str">
            <v>Přev. NF na spolufin.p.Sapard</v>
          </cell>
        </row>
        <row r="374">
          <cell r="A374">
            <v>5740</v>
          </cell>
          <cell r="B374" t="str">
            <v>Přev. NF na spolufin.komun.p</v>
          </cell>
        </row>
        <row r="375">
          <cell r="A375">
            <v>5750</v>
          </cell>
          <cell r="B375" t="str">
            <v>Přev. NF na spoluf.ost.p.ES</v>
          </cell>
        </row>
        <row r="376">
          <cell r="A376">
            <v>5760</v>
          </cell>
          <cell r="B376" t="str">
            <v>Př.NF-spolufin.pomoci ze zahr.</v>
          </cell>
        </row>
        <row r="377">
          <cell r="A377">
            <v>5770</v>
          </cell>
          <cell r="B377" t="str">
            <v>Převody SR-NF - kurs.rozdíly</v>
          </cell>
        </row>
        <row r="378">
          <cell r="A378">
            <v>5790</v>
          </cell>
          <cell r="B378" t="str">
            <v>Ostatní převody do NF</v>
          </cell>
        </row>
        <row r="379">
          <cell r="A379">
            <v>5901</v>
          </cell>
          <cell r="B379" t="str">
            <v>Nespecifikované rezervy</v>
          </cell>
        </row>
        <row r="380">
          <cell r="A380">
            <v>5902</v>
          </cell>
          <cell r="B380" t="str">
            <v>Ost. výdaje z FV minulých let</v>
          </cell>
        </row>
        <row r="381">
          <cell r="A381">
            <v>5909</v>
          </cell>
          <cell r="B381" t="str">
            <v>Ostatní neivest. výdaje j.n.</v>
          </cell>
        </row>
        <row r="382">
          <cell r="A382">
            <v>6111</v>
          </cell>
          <cell r="B382" t="str">
            <v>Programové vybavení</v>
          </cell>
        </row>
        <row r="383">
          <cell r="A383">
            <v>6112</v>
          </cell>
          <cell r="B383" t="str">
            <v>Ocenitelná práva</v>
          </cell>
        </row>
        <row r="384">
          <cell r="A384">
            <v>6113</v>
          </cell>
          <cell r="B384" t="str">
            <v>Nehmotné výsl.výzkum. činnosti</v>
          </cell>
        </row>
        <row r="385">
          <cell r="A385">
            <v>6119</v>
          </cell>
          <cell r="B385" t="str">
            <v>Ostatní nákup DNM</v>
          </cell>
        </row>
        <row r="386">
          <cell r="A386">
            <v>6121</v>
          </cell>
          <cell r="B386" t="str">
            <v>Budovy,haly,stavby</v>
          </cell>
        </row>
        <row r="387">
          <cell r="A387">
            <v>6122</v>
          </cell>
          <cell r="B387" t="str">
            <v>Stroje,přístroje,zařízení</v>
          </cell>
        </row>
        <row r="388">
          <cell r="A388">
            <v>6123</v>
          </cell>
          <cell r="B388" t="str">
            <v>Dopravní prostředky</v>
          </cell>
        </row>
        <row r="389">
          <cell r="A389">
            <v>6124</v>
          </cell>
          <cell r="B389" t="str">
            <v>Pěstitelské celky trv.porostů</v>
          </cell>
        </row>
        <row r="390">
          <cell r="A390">
            <v>6125</v>
          </cell>
          <cell r="B390" t="str">
            <v>Výpočetní technika</v>
          </cell>
        </row>
        <row r="391">
          <cell r="A391">
            <v>6127</v>
          </cell>
          <cell r="B391" t="str">
            <v>Umělecká díla a předměty</v>
          </cell>
        </row>
        <row r="392">
          <cell r="A392">
            <v>6129</v>
          </cell>
          <cell r="B392" t="str">
            <v>Nákup DHM j.n.</v>
          </cell>
        </row>
        <row r="393">
          <cell r="A393">
            <v>6130</v>
          </cell>
          <cell r="B393" t="str">
            <v>Pozemky</v>
          </cell>
        </row>
        <row r="394">
          <cell r="A394">
            <v>6201</v>
          </cell>
          <cell r="B394" t="str">
            <v>Nákup akcií</v>
          </cell>
        </row>
        <row r="395">
          <cell r="A395">
            <v>6202</v>
          </cell>
          <cell r="B395" t="str">
            <v>Nákup majetkových podílů</v>
          </cell>
        </row>
        <row r="396">
          <cell r="A396">
            <v>6209</v>
          </cell>
          <cell r="B396" t="str">
            <v>Nákup ostat.majetkových nároků</v>
          </cell>
        </row>
        <row r="397">
          <cell r="A397">
            <v>6311</v>
          </cell>
          <cell r="B397" t="str">
            <v>Invest.transf.fin.institucím</v>
          </cell>
        </row>
        <row r="398">
          <cell r="A398">
            <v>6312</v>
          </cell>
          <cell r="B398" t="str">
            <v>Inv.transf.fyzickým osobám</v>
          </cell>
        </row>
        <row r="399">
          <cell r="A399">
            <v>6313</v>
          </cell>
          <cell r="B399" t="str">
            <v>Inv.transf.právnickým osobám</v>
          </cell>
        </row>
        <row r="400">
          <cell r="A400">
            <v>6314</v>
          </cell>
          <cell r="B400" t="str">
            <v>Inv.transf.fin.inst.ve vl.st.</v>
          </cell>
        </row>
        <row r="401">
          <cell r="A401">
            <v>6315</v>
          </cell>
          <cell r="B401" t="str">
            <v>Inv.transf.pod.subj.ve vl.st.</v>
          </cell>
        </row>
        <row r="402">
          <cell r="A402">
            <v>6319</v>
          </cell>
          <cell r="B402" t="str">
            <v>Ost.inv.transf.podnikat.subj.</v>
          </cell>
        </row>
        <row r="403">
          <cell r="A403">
            <v>6321</v>
          </cell>
          <cell r="B403" t="str">
            <v>Inv.transf.obec.prospěš.spol.</v>
          </cell>
        </row>
        <row r="404">
          <cell r="A404">
            <v>6322</v>
          </cell>
          <cell r="B404" t="str">
            <v>Inv.transf.občan.sdružením</v>
          </cell>
        </row>
        <row r="405">
          <cell r="A405">
            <v>6323</v>
          </cell>
          <cell r="B405" t="str">
            <v>Inv.transf.církvím,náb.spol.</v>
          </cell>
        </row>
        <row r="406">
          <cell r="A406">
            <v>6324</v>
          </cell>
          <cell r="B406" t="str">
            <v>Inv.transf.společ.vl.jednotek</v>
          </cell>
        </row>
        <row r="407">
          <cell r="A407">
            <v>6329</v>
          </cell>
          <cell r="B407" t="str">
            <v>Ost.inv.transf.nezisk.a p.org</v>
          </cell>
        </row>
        <row r="408">
          <cell r="A408">
            <v>6331</v>
          </cell>
          <cell r="B408" t="str">
            <v>Investiční transfery SR</v>
          </cell>
        </row>
        <row r="409">
          <cell r="A409">
            <v>6332</v>
          </cell>
          <cell r="B409" t="str">
            <v>Investiční transfery SF</v>
          </cell>
        </row>
        <row r="410">
          <cell r="A410">
            <v>6333</v>
          </cell>
          <cell r="B410" t="str">
            <v>Inv.transf.zvl.fondům ústř.ú</v>
          </cell>
        </row>
        <row r="411">
          <cell r="A411">
            <v>6334</v>
          </cell>
          <cell r="B411" t="str">
            <v>Inv.transf.fond.soc.zdrav.poj.</v>
          </cell>
        </row>
        <row r="412">
          <cell r="A412">
            <v>6335</v>
          </cell>
          <cell r="B412" t="str">
            <v>Investiční transfery SFA</v>
          </cell>
        </row>
        <row r="413">
          <cell r="A413">
            <v>6339</v>
          </cell>
          <cell r="B413" t="str">
            <v>Ost. investiční transfery JVR</v>
          </cell>
        </row>
        <row r="414">
          <cell r="A414">
            <v>6341</v>
          </cell>
          <cell r="B414" t="str">
            <v>Investiční transf.obcím</v>
          </cell>
        </row>
        <row r="415">
          <cell r="A415">
            <v>6342</v>
          </cell>
          <cell r="B415" t="str">
            <v>Investiční transf.krajům</v>
          </cell>
        </row>
        <row r="416">
          <cell r="A416">
            <v>6343</v>
          </cell>
          <cell r="B416" t="str">
            <v>Inv.transf.obcím-s.dot.vztahem</v>
          </cell>
        </row>
        <row r="417">
          <cell r="A417">
            <v>6344</v>
          </cell>
          <cell r="B417" t="str">
            <v>Inv.transf.krajům-s.dot.vztah</v>
          </cell>
        </row>
        <row r="418">
          <cell r="A418">
            <v>6345</v>
          </cell>
          <cell r="B418" t="str">
            <v>Inv.transf.regionálním radám</v>
          </cell>
        </row>
        <row r="419">
          <cell r="A419">
            <v>6349</v>
          </cell>
          <cell r="B419" t="str">
            <v>Ost.inv.transf.VR územ.úrovně</v>
          </cell>
        </row>
        <row r="420">
          <cell r="A420">
            <v>6351</v>
          </cell>
          <cell r="B420" t="str">
            <v>Invest.transf.zřízeným PO</v>
          </cell>
        </row>
        <row r="421">
          <cell r="A421">
            <v>6352</v>
          </cell>
          <cell r="B421" t="str">
            <v>Invest. transf.vys. školám</v>
          </cell>
        </row>
        <row r="422">
          <cell r="A422">
            <v>6353</v>
          </cell>
          <cell r="B422" t="str">
            <v>Invest. transf.škol.práv.os.</v>
          </cell>
        </row>
        <row r="423">
          <cell r="A423">
            <v>6354</v>
          </cell>
          <cell r="B423" t="str">
            <v>Invest. transf.veř.výzk.inst.</v>
          </cell>
        </row>
        <row r="424">
          <cell r="A424">
            <v>6355</v>
          </cell>
          <cell r="B424" t="str">
            <v>Invest. transf.veř.zdrav.zař.</v>
          </cell>
        </row>
        <row r="425">
          <cell r="A425">
            <v>6359</v>
          </cell>
          <cell r="B425" t="str">
            <v>Invest.transf.ostatním PO</v>
          </cell>
        </row>
        <row r="426">
          <cell r="A426">
            <v>6361</v>
          </cell>
          <cell r="B426" t="str">
            <v>Invest.transf.do RF OSS</v>
          </cell>
        </row>
        <row r="427">
          <cell r="A427">
            <v>6371</v>
          </cell>
          <cell r="B427" t="str">
            <v>Účel.inv.transf.nepodnik.f.o.</v>
          </cell>
        </row>
        <row r="428">
          <cell r="A428">
            <v>6379</v>
          </cell>
          <cell r="B428" t="str">
            <v>Ost.inv.transfery obyvatelstvu</v>
          </cell>
        </row>
        <row r="429">
          <cell r="A429">
            <v>6380</v>
          </cell>
          <cell r="B429" t="str">
            <v>Invest.transfery do zahraničí</v>
          </cell>
        </row>
        <row r="430">
          <cell r="A430">
            <v>6411</v>
          </cell>
          <cell r="B430" t="str">
            <v>Inv.půjč.prostř.fin.institucím</v>
          </cell>
        </row>
        <row r="431">
          <cell r="A431">
            <v>6412</v>
          </cell>
          <cell r="B431" t="str">
            <v>Inv.půjč.prostř.fyzick.osobám</v>
          </cell>
        </row>
        <row r="432">
          <cell r="A432">
            <v>6413</v>
          </cell>
          <cell r="B432" t="str">
            <v>Inv.půjč.prostř.práv.osobám</v>
          </cell>
        </row>
        <row r="433">
          <cell r="A433">
            <v>6414</v>
          </cell>
          <cell r="B433" t="str">
            <v>Inv.půjč.prostř.fin.institucím</v>
          </cell>
        </row>
        <row r="434">
          <cell r="A434">
            <v>6415</v>
          </cell>
          <cell r="B434" t="str">
            <v>Inv.půjč.prostř.podnikat.subj.</v>
          </cell>
        </row>
        <row r="435">
          <cell r="A435">
            <v>6419</v>
          </cell>
          <cell r="B435" t="str">
            <v>Ost.inv.p.p. podnikatel.subj.</v>
          </cell>
        </row>
        <row r="436">
          <cell r="A436">
            <v>6421</v>
          </cell>
          <cell r="B436" t="str">
            <v>Inv.půjč.prostř.obec.prosp.sp.</v>
          </cell>
        </row>
        <row r="437">
          <cell r="A437">
            <v>6422</v>
          </cell>
          <cell r="B437" t="str">
            <v>Inv.půjč.prostředky OS</v>
          </cell>
        </row>
        <row r="438">
          <cell r="A438">
            <v>6423</v>
          </cell>
          <cell r="B438" t="str">
            <v>Inv.p.p. církvím,nábož.spol.</v>
          </cell>
        </row>
        <row r="439">
          <cell r="A439">
            <v>6424</v>
          </cell>
          <cell r="B439" t="str">
            <v>Inv.p.prostř.spol.vl.jednotek</v>
          </cell>
        </row>
        <row r="440">
          <cell r="A440">
            <v>6429</v>
          </cell>
          <cell r="B440" t="str">
            <v>Inv.p.p. nezisk.a p.org.</v>
          </cell>
        </row>
        <row r="441">
          <cell r="A441">
            <v>6431</v>
          </cell>
          <cell r="B441" t="str">
            <v>Inv.půjčené prostředky SR</v>
          </cell>
        </row>
        <row r="442">
          <cell r="A442">
            <v>6432</v>
          </cell>
          <cell r="B442" t="str">
            <v>Invest.půjčené prostředky SF</v>
          </cell>
        </row>
        <row r="443">
          <cell r="A443">
            <v>6433</v>
          </cell>
          <cell r="B443" t="str">
            <v>Inv.půj.pr.zvl.fondům centr.ú.</v>
          </cell>
        </row>
        <row r="444">
          <cell r="A444">
            <v>6434</v>
          </cell>
          <cell r="B444" t="str">
            <v>Inv.p.p. fondům soc.zdrav.poj.</v>
          </cell>
        </row>
        <row r="445">
          <cell r="A445">
            <v>6439</v>
          </cell>
          <cell r="B445" t="str">
            <v>Ost.invest.půjč.prostř. JVR</v>
          </cell>
        </row>
        <row r="446">
          <cell r="A446">
            <v>6441</v>
          </cell>
          <cell r="B446" t="str">
            <v>Invest. půjč. prostř. obcím</v>
          </cell>
        </row>
        <row r="447">
          <cell r="A447">
            <v>6442</v>
          </cell>
          <cell r="B447" t="str">
            <v>Invest. půjč. prostř. krajům</v>
          </cell>
        </row>
        <row r="448">
          <cell r="A448">
            <v>6443</v>
          </cell>
          <cell r="B448" t="str">
            <v>Invest.půjč.prostř.reg.radám</v>
          </cell>
        </row>
        <row r="449">
          <cell r="A449">
            <v>6449</v>
          </cell>
          <cell r="B449" t="str">
            <v>Ost.inv.p.prostř. VR územ.ú.</v>
          </cell>
        </row>
        <row r="450">
          <cell r="A450">
            <v>6451</v>
          </cell>
          <cell r="B450" t="str">
            <v>Invest.půjč.prostř.zřízeným PO</v>
          </cell>
        </row>
        <row r="451">
          <cell r="A451">
            <v>6452</v>
          </cell>
          <cell r="B451" t="str">
            <v>Invest.půjč.prostř. vys.školám</v>
          </cell>
        </row>
        <row r="452">
          <cell r="A452">
            <v>6459</v>
          </cell>
          <cell r="B452" t="str">
            <v>Invest.půjč.prostř.ostatním PO</v>
          </cell>
        </row>
        <row r="453">
          <cell r="A453">
            <v>6460</v>
          </cell>
          <cell r="B453" t="str">
            <v>Invest.půj.prostř.obyvatelstvu</v>
          </cell>
        </row>
        <row r="454">
          <cell r="A454">
            <v>6470</v>
          </cell>
          <cell r="B454" t="str">
            <v>Invest.půj.prostř.do zahraničí</v>
          </cell>
        </row>
        <row r="455">
          <cell r="A455">
            <v>6710</v>
          </cell>
          <cell r="B455" t="str">
            <v>Inv.převody NF-pr.Phare</v>
          </cell>
        </row>
        <row r="456">
          <cell r="A456">
            <v>6720</v>
          </cell>
          <cell r="B456" t="str">
            <v>Inv.převody NF-pr.Ispa</v>
          </cell>
        </row>
        <row r="457">
          <cell r="A457">
            <v>6730</v>
          </cell>
          <cell r="B457" t="str">
            <v>Inf.převody NF-pr.Sapard</v>
          </cell>
        </row>
        <row r="458">
          <cell r="A458">
            <v>6740</v>
          </cell>
          <cell r="B458" t="str">
            <v>Inv.převody NF-komunitární pr.</v>
          </cell>
        </row>
        <row r="459">
          <cell r="A459">
            <v>6750</v>
          </cell>
          <cell r="B459" t="str">
            <v>Inv.převody NF-ost.pr.ES a ČR</v>
          </cell>
        </row>
        <row r="460">
          <cell r="A460">
            <v>6760</v>
          </cell>
          <cell r="B460" t="str">
            <v>Inv.převody NF-pomoc ze zahr.</v>
          </cell>
        </row>
        <row r="461">
          <cell r="A461">
            <v>6790</v>
          </cell>
          <cell r="B461" t="str">
            <v>Ost.invest. převody do NF</v>
          </cell>
        </row>
        <row r="462">
          <cell r="A462">
            <v>6901</v>
          </cell>
          <cell r="B462" t="str">
            <v>Rezervy kapitálových výdajů</v>
          </cell>
        </row>
        <row r="463">
          <cell r="A463">
            <v>6909</v>
          </cell>
          <cell r="B463" t="str">
            <v>Ostatní kapitálové výdaje j.n.</v>
          </cell>
        </row>
        <row r="464">
          <cell r="A464">
            <v>8111</v>
          </cell>
          <cell r="B464" t="str">
            <v>Krátkodobé vydané dluhopisy</v>
          </cell>
        </row>
        <row r="465">
          <cell r="A465">
            <v>8112</v>
          </cell>
          <cell r="B465" t="str">
            <v>Uhraz.splát.krátkodob.vyd.dluh</v>
          </cell>
        </row>
        <row r="466">
          <cell r="A466">
            <v>8113</v>
          </cell>
          <cell r="B466" t="str">
            <v>Kratkodob.přijaté půjč.prostř.</v>
          </cell>
        </row>
        <row r="467">
          <cell r="A467">
            <v>8114</v>
          </cell>
          <cell r="B467" t="str">
            <v>Uhraz.splát.krátkodob.přij.půj</v>
          </cell>
        </row>
        <row r="468">
          <cell r="A468">
            <v>8115</v>
          </cell>
          <cell r="B468" t="str">
            <v>Zm.stavu krátkodob.prost.na BÚ</v>
          </cell>
        </row>
        <row r="469">
          <cell r="A469">
            <v>8117</v>
          </cell>
          <cell r="B469" t="str">
            <v>Akt.krát.oper.říz.lik.-příjmy</v>
          </cell>
        </row>
        <row r="470">
          <cell r="A470">
            <v>8118</v>
          </cell>
          <cell r="B470" t="str">
            <v>Akt.krát.oper.říz.lik.-výdaje</v>
          </cell>
        </row>
        <row r="471">
          <cell r="A471">
            <v>8121</v>
          </cell>
          <cell r="B471" t="str">
            <v>Dlouhodobé vydané dluhopisy</v>
          </cell>
        </row>
        <row r="472">
          <cell r="A472">
            <v>8122</v>
          </cell>
          <cell r="B472" t="str">
            <v>Uhraz.splát.dlouhodob.vyd.dluh</v>
          </cell>
        </row>
        <row r="473">
          <cell r="A473">
            <v>8123</v>
          </cell>
          <cell r="B473" t="str">
            <v>Dlouhodob.přijaté půjč.prostř.</v>
          </cell>
        </row>
        <row r="474">
          <cell r="A474">
            <v>8124</v>
          </cell>
          <cell r="B474" t="str">
            <v>Uhraz.splát.dlouhodob.přij.půj</v>
          </cell>
        </row>
        <row r="475">
          <cell r="A475">
            <v>8125</v>
          </cell>
          <cell r="B475" t="str">
            <v>Zm.stavu dlouhodob.prost.na BÚ</v>
          </cell>
        </row>
        <row r="476">
          <cell r="A476">
            <v>8127</v>
          </cell>
          <cell r="B476" t="str">
            <v>Akt.dlouh.oper.říz.lik.-příjmy</v>
          </cell>
        </row>
        <row r="477">
          <cell r="A477">
            <v>8128</v>
          </cell>
          <cell r="B477" t="str">
            <v>Akt.dlouh.oper.říz.lik.-výdaje</v>
          </cell>
        </row>
        <row r="478">
          <cell r="A478">
            <v>8211</v>
          </cell>
          <cell r="B478" t="str">
            <v>Krátkodobé vydané dluhopisy</v>
          </cell>
        </row>
        <row r="479">
          <cell r="A479">
            <v>8212</v>
          </cell>
          <cell r="B479" t="str">
            <v>Uhraz.splát.krátkodob.vyd.dluh</v>
          </cell>
        </row>
        <row r="480">
          <cell r="A480">
            <v>8213</v>
          </cell>
          <cell r="B480" t="str">
            <v>Krátkodob. přijaté půj.prostř.</v>
          </cell>
        </row>
        <row r="481">
          <cell r="A481">
            <v>8214</v>
          </cell>
          <cell r="B481" t="str">
            <v>Uhraz.splát.krátkodob.přij.půj</v>
          </cell>
        </row>
        <row r="482">
          <cell r="A482">
            <v>8215</v>
          </cell>
          <cell r="B482" t="str">
            <v>Zm.stavu krátkodob.prost.na BÚ</v>
          </cell>
        </row>
        <row r="483">
          <cell r="A483">
            <v>8217</v>
          </cell>
          <cell r="B483" t="str">
            <v>Akt.krát.oper.říz.lik.-příjmy</v>
          </cell>
        </row>
        <row r="484">
          <cell r="A484">
            <v>8218</v>
          </cell>
          <cell r="B484" t="str">
            <v>Akt.krát.oper.říz.lik.-výdaje</v>
          </cell>
        </row>
        <row r="485">
          <cell r="A485">
            <v>8221</v>
          </cell>
          <cell r="B485" t="str">
            <v>Dlouhodobé vydané dluhopisy</v>
          </cell>
        </row>
        <row r="486">
          <cell r="A486">
            <v>8222</v>
          </cell>
          <cell r="B486" t="str">
            <v>Uhraz.splát.dlouhodob.vyd.dluh</v>
          </cell>
        </row>
        <row r="487">
          <cell r="A487">
            <v>8223</v>
          </cell>
          <cell r="B487" t="str">
            <v>Dlouhodob. přitajé půj.prostř.</v>
          </cell>
        </row>
        <row r="488">
          <cell r="A488">
            <v>8224</v>
          </cell>
          <cell r="B488" t="str">
            <v>Uhraz.splát.dlouhodob.přij.půj</v>
          </cell>
        </row>
        <row r="489">
          <cell r="A489">
            <v>8225</v>
          </cell>
          <cell r="B489" t="str">
            <v>Zm.stavu dlouhodob.prost.na BÚ</v>
          </cell>
        </row>
        <row r="490">
          <cell r="A490">
            <v>8227</v>
          </cell>
          <cell r="B490" t="str">
            <v>Akt.dlouh.oper.říz.lik.-příjmy</v>
          </cell>
        </row>
        <row r="491">
          <cell r="A491">
            <v>8228</v>
          </cell>
          <cell r="B491" t="str">
            <v>Akt.dlouh.oper.říz.lik.-výdaje</v>
          </cell>
        </row>
        <row r="492">
          <cell r="A492">
            <v>8901</v>
          </cell>
          <cell r="B492" t="str">
            <v>Oper.z peněž.účtů organizace</v>
          </cell>
        </row>
        <row r="493">
          <cell r="A493">
            <v>8902</v>
          </cell>
          <cell r="B493" t="str">
            <v>Nerealizované kurzové rozdíly</v>
          </cell>
        </row>
        <row r="494">
          <cell r="A494">
            <v>8905</v>
          </cell>
          <cell r="B494" t="str">
            <v>Kontokorent</v>
          </cell>
        </row>
      </sheetData>
      <sheetData sheetId="6"/>
      <sheetData sheetId="7">
        <row r="1">
          <cell r="A1" t="str">
            <v>Účelový znak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tolbova@mu.kutnahora.cz" TargetMode="External"/><Relationship Id="rId13" Type="http://schemas.openxmlformats.org/officeDocument/2006/relationships/hyperlink" Target="mailto:marecek@mu.kutnahora.cz" TargetMode="External"/><Relationship Id="rId18" Type="http://schemas.openxmlformats.org/officeDocument/2006/relationships/hyperlink" Target="mailto:gregorova@mu.kutnahora.cz" TargetMode="External"/><Relationship Id="rId26" Type="http://schemas.openxmlformats.org/officeDocument/2006/relationships/hyperlink" Target="mailto:simonova@mu.kutnahora.cz" TargetMode="External"/><Relationship Id="rId3" Type="http://schemas.openxmlformats.org/officeDocument/2006/relationships/hyperlink" Target="mailto:slesingr@mu.kutnahora.cz" TargetMode="External"/><Relationship Id="rId21" Type="http://schemas.openxmlformats.org/officeDocument/2006/relationships/hyperlink" Target="mailto:cermak@mu.kutnahora.cz" TargetMode="External"/><Relationship Id="rId7" Type="http://schemas.openxmlformats.org/officeDocument/2006/relationships/hyperlink" Target="mailto:kralik@mu.kutnahora.cz" TargetMode="External"/><Relationship Id="rId12" Type="http://schemas.openxmlformats.org/officeDocument/2006/relationships/hyperlink" Target="mailto:gygalova@mu.kutnahora.cz" TargetMode="External"/><Relationship Id="rId17" Type="http://schemas.openxmlformats.org/officeDocument/2006/relationships/hyperlink" Target="mailto:gregorova@mu.kutnahora.cz" TargetMode="External"/><Relationship Id="rId25" Type="http://schemas.openxmlformats.org/officeDocument/2006/relationships/hyperlink" Target="mailto:brandejska@mu.kutnahora.cz" TargetMode="External"/><Relationship Id="rId33" Type="http://schemas.openxmlformats.org/officeDocument/2006/relationships/printerSettings" Target="../printerSettings/printerSettings5.bin"/><Relationship Id="rId2" Type="http://schemas.openxmlformats.org/officeDocument/2006/relationships/hyperlink" Target="mailto:slesingr@mu.kutnahora.cz" TargetMode="External"/><Relationship Id="rId16" Type="http://schemas.openxmlformats.org/officeDocument/2006/relationships/hyperlink" Target="mailto:hermanova@mu.kutnahora.cz" TargetMode="External"/><Relationship Id="rId20" Type="http://schemas.openxmlformats.org/officeDocument/2006/relationships/hyperlink" Target="mailto:zavrelova@mu.kutnahora.cz" TargetMode="External"/><Relationship Id="rId29" Type="http://schemas.openxmlformats.org/officeDocument/2006/relationships/hyperlink" Target="mailto:stolbova@mu.kutnahora.cz" TargetMode="External"/><Relationship Id="rId1" Type="http://schemas.openxmlformats.org/officeDocument/2006/relationships/hyperlink" Target="mailto:hotovcova@mu.kutnahora.cz" TargetMode="External"/><Relationship Id="rId6" Type="http://schemas.openxmlformats.org/officeDocument/2006/relationships/hyperlink" Target="mailto:kosova@mu.kutnahora.cz" TargetMode="External"/><Relationship Id="rId11" Type="http://schemas.openxmlformats.org/officeDocument/2006/relationships/hyperlink" Target="mailto:icvedouci@mu.kutnahora.cz" TargetMode="External"/><Relationship Id="rId24" Type="http://schemas.openxmlformats.org/officeDocument/2006/relationships/hyperlink" Target="mailto:harokova@mu.kutnahora.cz" TargetMode="External"/><Relationship Id="rId32" Type="http://schemas.openxmlformats.org/officeDocument/2006/relationships/hyperlink" Target="mailto:ostranska@mu.kutnahora.cz" TargetMode="External"/><Relationship Id="rId5" Type="http://schemas.openxmlformats.org/officeDocument/2006/relationships/hyperlink" Target="mailto:klimentova@mu.kutnahora.cz" TargetMode="External"/><Relationship Id="rId15" Type="http://schemas.openxmlformats.org/officeDocument/2006/relationships/hyperlink" Target="mailto:zackova@mu.kutnahora.cz" TargetMode="External"/><Relationship Id="rId23" Type="http://schemas.openxmlformats.org/officeDocument/2006/relationships/hyperlink" Target="mailto:jukl@mu.kutnahora.cz" TargetMode="External"/><Relationship Id="rId28" Type="http://schemas.openxmlformats.org/officeDocument/2006/relationships/hyperlink" Target="mailto:tivodarova@mu.kutnahora.cz" TargetMode="External"/><Relationship Id="rId10" Type="http://schemas.openxmlformats.org/officeDocument/2006/relationships/hyperlink" Target="mailto:kasalova@mu.kutnahora.cz" TargetMode="External"/><Relationship Id="rId19" Type="http://schemas.openxmlformats.org/officeDocument/2006/relationships/hyperlink" Target="mailto:malichova@mu.kutnahora.cz" TargetMode="External"/><Relationship Id="rId31" Type="http://schemas.openxmlformats.org/officeDocument/2006/relationships/hyperlink" Target="mailto:maternova@mu.kutnahora.cz" TargetMode="External"/><Relationship Id="rId4" Type="http://schemas.openxmlformats.org/officeDocument/2006/relationships/hyperlink" Target="mailto:horynova@mu.kutnahora.cz" TargetMode="External"/><Relationship Id="rId9" Type="http://schemas.openxmlformats.org/officeDocument/2006/relationships/hyperlink" Target="mailto:kotlar@mu.kutnahora.cz" TargetMode="External"/><Relationship Id="rId14" Type="http://schemas.openxmlformats.org/officeDocument/2006/relationships/hyperlink" Target="mailto:jelinkova@mu.kutnahora.cz" TargetMode="External"/><Relationship Id="rId22" Type="http://schemas.openxmlformats.org/officeDocument/2006/relationships/hyperlink" Target="mailto:bulankova@mu.kutnahora.cz" TargetMode="External"/><Relationship Id="rId27" Type="http://schemas.openxmlformats.org/officeDocument/2006/relationships/hyperlink" Target="mailto:krulisova@mu.kutnahora.cz" TargetMode="External"/><Relationship Id="rId30" Type="http://schemas.openxmlformats.org/officeDocument/2006/relationships/hyperlink" Target="mailto:klimentova@mu.kutnahora.cz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0"/>
  <sheetViews>
    <sheetView view="pageBreakPreview" zoomScale="80" zoomScaleNormal="80" zoomScaleSheetLayoutView="80" workbookViewId="0">
      <pane xSplit="11" ySplit="2" topLeftCell="P318" activePane="bottomRight" state="frozen"/>
      <selection activeCell="K180" sqref="K179:K180"/>
      <selection pane="topRight" activeCell="K180" sqref="K179:K180"/>
      <selection pane="bottomLeft" activeCell="K180" sqref="K179:K180"/>
      <selection pane="bottomRight" activeCell="T357" sqref="T357"/>
    </sheetView>
  </sheetViews>
  <sheetFormatPr defaultColWidth="8.85546875" defaultRowHeight="15" outlineLevelRow="2" x14ac:dyDescent="0.25"/>
  <cols>
    <col min="1" max="1" width="6" style="39" bestFit="1" customWidth="1"/>
    <col min="2" max="2" width="6.7109375" style="39" customWidth="1"/>
    <col min="3" max="3" width="15.140625" style="39" bestFit="1" customWidth="1"/>
    <col min="4" max="4" width="10.42578125" style="39" customWidth="1"/>
    <col min="5" max="5" width="4.42578125" style="39" customWidth="1"/>
    <col min="6" max="6" width="8.28515625" style="39" customWidth="1"/>
    <col min="7" max="7" width="8.140625" style="39" customWidth="1"/>
    <col min="8" max="9" width="3.5703125" style="39" customWidth="1"/>
    <col min="10" max="10" width="13.5703125" style="40" hidden="1" customWidth="1"/>
    <col min="11" max="11" width="45.5703125" style="41" customWidth="1"/>
    <col min="12" max="12" width="15.140625" style="43" hidden="1" customWidth="1"/>
    <col min="13" max="14" width="18" style="43" hidden="1" customWidth="1"/>
    <col min="15" max="15" width="18.5703125" style="43" hidden="1" customWidth="1"/>
    <col min="16" max="16" width="19.85546875" style="43" customWidth="1"/>
    <col min="17" max="19" width="17.7109375" style="43" customWidth="1"/>
    <col min="20" max="20" width="43.140625" style="69" bestFit="1" customWidth="1"/>
    <col min="21" max="21" width="17.7109375" style="12" customWidth="1"/>
    <col min="22" max="22" width="17.7109375" style="253" customWidth="1"/>
    <col min="23" max="66" width="17.7109375" style="12" customWidth="1"/>
    <col min="67" max="67" width="17.7109375" style="12" bestFit="1" customWidth="1"/>
    <col min="68" max="68" width="17.7109375" style="12" customWidth="1"/>
    <col min="69" max="69" width="17.7109375" style="12" bestFit="1" customWidth="1"/>
    <col min="70" max="70" width="17.7109375" style="12" customWidth="1"/>
    <col min="71" max="71" width="17.7109375" style="12" bestFit="1" customWidth="1"/>
    <col min="72" max="72" width="17.7109375" style="12" customWidth="1"/>
    <col min="73" max="73" width="17.7109375" style="12" bestFit="1" customWidth="1"/>
    <col min="74" max="74" width="17.7109375" style="12" customWidth="1"/>
    <col min="75" max="75" width="17.7109375" style="12" bestFit="1" customWidth="1"/>
    <col min="76" max="77" width="17.7109375" style="12" customWidth="1"/>
    <col min="78" max="78" width="14" style="12" customWidth="1"/>
    <col min="79" max="79" width="14.85546875" style="12" bestFit="1" customWidth="1"/>
    <col min="80" max="80" width="11" style="12" customWidth="1"/>
    <col min="81" max="81" width="15.7109375" style="12" bestFit="1" customWidth="1"/>
    <col min="82" max="82" width="11" style="12" customWidth="1"/>
    <col min="83" max="83" width="15.7109375" style="12" bestFit="1" customWidth="1"/>
    <col min="84" max="84" width="11" style="12" customWidth="1"/>
    <col min="85" max="85" width="15.7109375" style="12" bestFit="1" customWidth="1"/>
    <col min="86" max="86" width="11" style="12" customWidth="1"/>
    <col min="87" max="87" width="15.7109375" style="12" bestFit="1" customWidth="1"/>
    <col min="88" max="88" width="14" style="12" customWidth="1"/>
    <col min="89" max="89" width="18.42578125" style="12" bestFit="1" customWidth="1"/>
    <col min="90" max="90" width="12" style="12" customWidth="1"/>
    <col min="91" max="91" width="16.85546875" style="12" bestFit="1" customWidth="1"/>
    <col min="92" max="92" width="11.140625" style="12" customWidth="1"/>
    <col min="93" max="93" width="11.140625" style="12" bestFit="1" customWidth="1"/>
    <col min="94" max="95" width="11.140625" style="12" customWidth="1"/>
    <col min="96" max="96" width="16.28515625" style="12" bestFit="1" customWidth="1"/>
    <col min="97" max="97" width="14" style="12" customWidth="1"/>
    <col min="98" max="98" width="14" style="12" bestFit="1" customWidth="1"/>
    <col min="99" max="16384" width="8.85546875" style="12"/>
  </cols>
  <sheetData>
    <row r="1" spans="1:22" s="182" customFormat="1" ht="14.45" customHeight="1" x14ac:dyDescent="0.25">
      <c r="A1" s="566" t="s">
        <v>0</v>
      </c>
      <c r="B1" s="566"/>
      <c r="C1" s="566"/>
      <c r="D1" s="4"/>
      <c r="E1" s="4"/>
      <c r="F1" s="4"/>
      <c r="G1" s="4"/>
      <c r="H1" s="4"/>
      <c r="I1" s="4"/>
      <c r="J1" s="5"/>
      <c r="K1" s="4"/>
      <c r="L1" s="177">
        <f>L370</f>
        <v>0</v>
      </c>
      <c r="M1" s="177">
        <f t="shared" ref="M1:R1" si="0">M370</f>
        <v>0</v>
      </c>
      <c r="N1" s="177">
        <f t="shared" si="0"/>
        <v>0</v>
      </c>
      <c r="O1" s="177">
        <f t="shared" si="0"/>
        <v>0</v>
      </c>
      <c r="P1" s="177">
        <f t="shared" si="0"/>
        <v>0</v>
      </c>
      <c r="Q1" s="177">
        <f t="shared" si="0"/>
        <v>0</v>
      </c>
      <c r="R1" s="177">
        <f t="shared" si="0"/>
        <v>0</v>
      </c>
      <c r="S1" s="177">
        <f>S370</f>
        <v>0</v>
      </c>
      <c r="T1" s="158"/>
      <c r="V1" s="556"/>
    </row>
    <row r="2" spans="1:22" ht="27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4506</v>
      </c>
      <c r="J2" s="6" t="s">
        <v>9</v>
      </c>
      <c r="K2" s="7" t="s">
        <v>10</v>
      </c>
      <c r="L2" s="8" t="s">
        <v>11</v>
      </c>
      <c r="M2" s="9" t="s">
        <v>12</v>
      </c>
      <c r="N2" s="10" t="s">
        <v>3726</v>
      </c>
      <c r="O2" s="10" t="s">
        <v>4349</v>
      </c>
      <c r="P2" s="10" t="s">
        <v>4503</v>
      </c>
      <c r="Q2" s="10" t="s">
        <v>4502</v>
      </c>
      <c r="R2" s="10" t="s">
        <v>4627</v>
      </c>
      <c r="S2" s="10" t="s">
        <v>4628</v>
      </c>
      <c r="T2" s="11" t="s">
        <v>4501</v>
      </c>
    </row>
    <row r="3" spans="1:22" s="39" customFormat="1" ht="15" customHeight="1" outlineLevel="2" x14ac:dyDescent="0.25">
      <c r="A3" s="13">
        <v>0</v>
      </c>
      <c r="B3" s="13">
        <v>2460</v>
      </c>
      <c r="C3" s="205">
        <v>2010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4" t="str">
        <f>CONCATENATE(A3,"/",B3,"/",C3,"/",D3,"/",E3,"/",F3,"/",G3,"/",H3,"/",I3)</f>
        <v>0/2460/2010/0/0/0/0/0/0</v>
      </c>
      <c r="K3" s="15" t="s">
        <v>13</v>
      </c>
      <c r="L3" s="16">
        <v>5000</v>
      </c>
      <c r="M3" s="16">
        <v>8000</v>
      </c>
      <c r="N3" s="20">
        <v>3000</v>
      </c>
      <c r="O3" s="17">
        <v>0</v>
      </c>
      <c r="P3" s="17"/>
      <c r="Q3" s="17"/>
      <c r="R3" s="17"/>
      <c r="S3" s="17">
        <v>0</v>
      </c>
      <c r="T3" s="57"/>
      <c r="U3" s="43"/>
      <c r="V3" s="43"/>
    </row>
    <row r="4" spans="1:22" s="39" customFormat="1" ht="15" customHeight="1" outlineLevel="1" x14ac:dyDescent="0.25">
      <c r="A4" s="409"/>
      <c r="B4" s="409"/>
      <c r="C4" s="410" t="s">
        <v>4656</v>
      </c>
      <c r="D4" s="409"/>
      <c r="E4" s="409"/>
      <c r="F4" s="409"/>
      <c r="G4" s="409"/>
      <c r="H4" s="409"/>
      <c r="I4" s="409"/>
      <c r="J4" s="409"/>
      <c r="K4" s="411"/>
      <c r="L4" s="412">
        <f t="shared" ref="L4:S4" si="1">SUBTOTAL(9,L3:L3)</f>
        <v>5000</v>
      </c>
      <c r="M4" s="412">
        <f t="shared" si="1"/>
        <v>8000</v>
      </c>
      <c r="N4" s="413">
        <f t="shared" si="1"/>
        <v>3000</v>
      </c>
      <c r="O4" s="414">
        <f t="shared" si="1"/>
        <v>0</v>
      </c>
      <c r="P4" s="414">
        <f t="shared" si="1"/>
        <v>0</v>
      </c>
      <c r="Q4" s="414">
        <f t="shared" si="1"/>
        <v>0</v>
      </c>
      <c r="R4" s="414">
        <f t="shared" si="1"/>
        <v>0</v>
      </c>
      <c r="S4" s="414">
        <f t="shared" si="1"/>
        <v>0</v>
      </c>
      <c r="T4" s="415"/>
      <c r="U4" s="43"/>
      <c r="V4" s="43"/>
    </row>
    <row r="5" spans="1:22" ht="15" customHeight="1" outlineLevel="2" x14ac:dyDescent="0.25">
      <c r="A5" s="14">
        <v>0</v>
      </c>
      <c r="B5" s="14">
        <v>1361</v>
      </c>
      <c r="C5" s="205">
        <v>2020</v>
      </c>
      <c r="D5" s="14">
        <v>31051</v>
      </c>
      <c r="E5" s="14">
        <v>0</v>
      </c>
      <c r="F5" s="14">
        <v>0</v>
      </c>
      <c r="G5" s="14">
        <v>0</v>
      </c>
      <c r="H5" s="14">
        <v>0</v>
      </c>
      <c r="I5" s="13">
        <v>0</v>
      </c>
      <c r="J5" s="14" t="str">
        <f t="shared" ref="J5:J14" si="2">CONCATENATE(A5,"/",B5,"/",C5,"/",D5,"/",E5,"/",F5,"/",G5,"/",H5,"/",I5)</f>
        <v>0/1361/2020/31051/0/0/0/0/0</v>
      </c>
      <c r="K5" s="21" t="s">
        <v>3783</v>
      </c>
      <c r="L5" s="22">
        <v>8900</v>
      </c>
      <c r="M5" s="22">
        <v>7410</v>
      </c>
      <c r="N5" s="20">
        <v>5760</v>
      </c>
      <c r="O5" s="17">
        <v>10080</v>
      </c>
      <c r="P5" s="17">
        <v>8430</v>
      </c>
      <c r="Q5" s="17"/>
      <c r="R5" s="17"/>
      <c r="S5" s="17">
        <v>7000</v>
      </c>
      <c r="T5" s="57"/>
    </row>
    <row r="6" spans="1:22" ht="15" customHeight="1" outlineLevel="2" x14ac:dyDescent="0.25">
      <c r="A6" s="14">
        <v>0</v>
      </c>
      <c r="B6" s="14">
        <v>1361</v>
      </c>
      <c r="C6" s="205">
        <v>2020</v>
      </c>
      <c r="D6" s="14">
        <v>31047</v>
      </c>
      <c r="E6" s="14">
        <v>0</v>
      </c>
      <c r="F6" s="14">
        <v>0</v>
      </c>
      <c r="G6" s="14">
        <v>0</v>
      </c>
      <c r="H6" s="14">
        <v>0</v>
      </c>
      <c r="I6" s="13">
        <v>0</v>
      </c>
      <c r="J6" s="14" t="str">
        <f t="shared" si="2"/>
        <v>0/1361/2020/31047/0/0/0/0/0</v>
      </c>
      <c r="K6" s="21" t="s">
        <v>42</v>
      </c>
      <c r="L6" s="22">
        <f>8400-400+20</f>
        <v>8020</v>
      </c>
      <c r="M6" s="22">
        <f>7650+80+600</f>
        <v>8330</v>
      </c>
      <c r="N6" s="20">
        <v>3950</v>
      </c>
      <c r="O6" s="17">
        <v>2500</v>
      </c>
      <c r="P6" s="17">
        <v>1500</v>
      </c>
      <c r="Q6" s="17"/>
      <c r="R6" s="17"/>
      <c r="S6" s="17">
        <v>2000</v>
      </c>
      <c r="T6" s="57"/>
    </row>
    <row r="7" spans="1:22" ht="15" customHeight="1" outlineLevel="2" x14ac:dyDescent="0.25">
      <c r="A7" s="14">
        <v>0</v>
      </c>
      <c r="B7" s="14">
        <v>1361</v>
      </c>
      <c r="C7" s="205">
        <v>2020</v>
      </c>
      <c r="D7" s="14">
        <v>31048</v>
      </c>
      <c r="E7" s="14">
        <v>0</v>
      </c>
      <c r="F7" s="14">
        <v>0</v>
      </c>
      <c r="G7" s="14">
        <v>0</v>
      </c>
      <c r="H7" s="14">
        <v>0</v>
      </c>
      <c r="I7" s="13">
        <v>0</v>
      </c>
      <c r="J7" s="14" t="str">
        <f t="shared" si="2"/>
        <v>0/1361/2020/31048/0/0/0/0/0</v>
      </c>
      <c r="K7" s="21" t="s">
        <v>43</v>
      </c>
      <c r="L7" s="22">
        <v>42300</v>
      </c>
      <c r="M7" s="22">
        <v>36500</v>
      </c>
      <c r="N7" s="20">
        <v>28630</v>
      </c>
      <c r="O7" s="17">
        <v>22800</v>
      </c>
      <c r="P7" s="17">
        <v>29300</v>
      </c>
      <c r="Q7" s="17"/>
      <c r="R7" s="17"/>
      <c r="S7" s="17">
        <v>20000</v>
      </c>
      <c r="T7" s="57"/>
    </row>
    <row r="8" spans="1:22" ht="15" customHeight="1" outlineLevel="2" x14ac:dyDescent="0.25">
      <c r="A8" s="14">
        <v>0</v>
      </c>
      <c r="B8" s="14">
        <v>1361</v>
      </c>
      <c r="C8" s="205">
        <v>2020</v>
      </c>
      <c r="D8" s="14">
        <v>31053</v>
      </c>
      <c r="E8" s="14">
        <v>0</v>
      </c>
      <c r="F8" s="14">
        <v>0</v>
      </c>
      <c r="G8" s="14">
        <v>0</v>
      </c>
      <c r="H8" s="14">
        <v>0</v>
      </c>
      <c r="I8" s="13">
        <v>0</v>
      </c>
      <c r="J8" s="14" t="str">
        <f t="shared" si="2"/>
        <v>0/1361/2020/31053/0/0/0/0/0</v>
      </c>
      <c r="K8" s="21" t="s">
        <v>44</v>
      </c>
      <c r="L8" s="22">
        <v>1400</v>
      </c>
      <c r="M8" s="22">
        <v>1000</v>
      </c>
      <c r="N8" s="20">
        <v>900</v>
      </c>
      <c r="O8" s="17">
        <v>300</v>
      </c>
      <c r="P8" s="17">
        <v>300</v>
      </c>
      <c r="Q8" s="17"/>
      <c r="R8" s="17"/>
      <c r="S8" s="17">
        <v>300</v>
      </c>
      <c r="T8" s="57"/>
    </row>
    <row r="9" spans="1:22" ht="14.45" customHeight="1" outlineLevel="2" x14ac:dyDescent="0.25">
      <c r="A9" s="14">
        <v>0</v>
      </c>
      <c r="B9" s="14">
        <v>1361</v>
      </c>
      <c r="C9" s="205">
        <v>2020</v>
      </c>
      <c r="D9" s="14">
        <v>31045</v>
      </c>
      <c r="E9" s="14">
        <v>0</v>
      </c>
      <c r="F9" s="14">
        <v>0</v>
      </c>
      <c r="G9" s="14">
        <v>0</v>
      </c>
      <c r="H9" s="14">
        <v>0</v>
      </c>
      <c r="I9" s="13">
        <v>0</v>
      </c>
      <c r="J9" s="14" t="str">
        <f t="shared" si="2"/>
        <v>0/1361/2020/31045/0/0/0/0/0</v>
      </c>
      <c r="K9" s="21" t="s">
        <v>45</v>
      </c>
      <c r="L9" s="22">
        <v>2800</v>
      </c>
      <c r="M9" s="22">
        <v>1400</v>
      </c>
      <c r="N9" s="20">
        <v>1200</v>
      </c>
      <c r="O9" s="17">
        <v>1200</v>
      </c>
      <c r="P9" s="17">
        <v>1500</v>
      </c>
      <c r="Q9" s="17"/>
      <c r="R9" s="17"/>
      <c r="S9" s="17">
        <v>2000</v>
      </c>
      <c r="T9" s="57"/>
    </row>
    <row r="10" spans="1:22" ht="15" customHeight="1" outlineLevel="2" x14ac:dyDescent="0.25">
      <c r="A10" s="14">
        <v>0</v>
      </c>
      <c r="B10" s="14">
        <v>1361</v>
      </c>
      <c r="C10" s="205">
        <v>2020</v>
      </c>
      <c r="D10" s="14">
        <v>31049</v>
      </c>
      <c r="E10" s="14">
        <v>0</v>
      </c>
      <c r="F10" s="14">
        <v>0</v>
      </c>
      <c r="G10" s="14">
        <v>0</v>
      </c>
      <c r="H10" s="14">
        <v>0</v>
      </c>
      <c r="I10" s="13">
        <v>0</v>
      </c>
      <c r="J10" s="14" t="str">
        <f t="shared" si="2"/>
        <v>0/1361/2020/31049/0/0/0/0/0</v>
      </c>
      <c r="K10" s="21" t="s">
        <v>46</v>
      </c>
      <c r="L10" s="22">
        <v>3440</v>
      </c>
      <c r="M10" s="22">
        <v>470</v>
      </c>
      <c r="N10" s="20">
        <v>1560</v>
      </c>
      <c r="O10" s="17">
        <v>650</v>
      </c>
      <c r="P10" s="17">
        <v>800</v>
      </c>
      <c r="Q10" s="17"/>
      <c r="R10" s="17"/>
      <c r="S10" s="17">
        <v>1000</v>
      </c>
      <c r="T10" s="57"/>
    </row>
    <row r="11" spans="1:22" ht="14.45" customHeight="1" outlineLevel="2" x14ac:dyDescent="0.25">
      <c r="A11" s="14">
        <v>0</v>
      </c>
      <c r="B11" s="14">
        <v>1361</v>
      </c>
      <c r="C11" s="18">
        <v>2020</v>
      </c>
      <c r="D11" s="14">
        <v>31056</v>
      </c>
      <c r="E11" s="14">
        <v>0</v>
      </c>
      <c r="F11" s="14">
        <v>0</v>
      </c>
      <c r="G11" s="14">
        <v>0</v>
      </c>
      <c r="H11" s="14">
        <v>0</v>
      </c>
      <c r="I11" s="13">
        <v>0</v>
      </c>
      <c r="J11" s="14" t="str">
        <f t="shared" si="2"/>
        <v>0/1361/2020/31056/0/0/0/0/0</v>
      </c>
      <c r="K11" s="21" t="s">
        <v>4429</v>
      </c>
      <c r="L11" s="22"/>
      <c r="M11" s="22"/>
      <c r="N11" s="20"/>
      <c r="O11" s="17">
        <v>100</v>
      </c>
      <c r="P11" s="17"/>
      <c r="Q11" s="17"/>
      <c r="R11" s="17"/>
      <c r="S11" s="17">
        <v>1000</v>
      </c>
      <c r="T11" s="57"/>
    </row>
    <row r="12" spans="1:22" ht="15" customHeight="1" outlineLevel="2" x14ac:dyDescent="0.25">
      <c r="A12" s="14">
        <v>0</v>
      </c>
      <c r="B12" s="14">
        <v>1361</v>
      </c>
      <c r="C12" s="205">
        <v>2020</v>
      </c>
      <c r="D12" s="14">
        <v>31031</v>
      </c>
      <c r="E12" s="14">
        <v>0</v>
      </c>
      <c r="F12" s="14">
        <v>0</v>
      </c>
      <c r="G12" s="14">
        <v>0</v>
      </c>
      <c r="H12" s="14">
        <v>0</v>
      </c>
      <c r="I12" s="13">
        <v>0</v>
      </c>
      <c r="J12" s="14" t="str">
        <f t="shared" si="2"/>
        <v>0/1361/2020/31031/0/0/0/0/0</v>
      </c>
      <c r="K12" s="21" t="s">
        <v>47</v>
      </c>
      <c r="L12" s="22">
        <v>1935</v>
      </c>
      <c r="M12" s="22">
        <v>620</v>
      </c>
      <c r="N12" s="20">
        <v>3680</v>
      </c>
      <c r="O12" s="17">
        <v>3325</v>
      </c>
      <c r="P12" s="17">
        <v>2120</v>
      </c>
      <c r="Q12" s="17"/>
      <c r="R12" s="17"/>
      <c r="S12" s="17"/>
      <c r="T12" s="57"/>
    </row>
    <row r="13" spans="1:22" ht="15" customHeight="1" outlineLevel="2" x14ac:dyDescent="0.25">
      <c r="A13" s="14">
        <v>0</v>
      </c>
      <c r="B13" s="14">
        <v>1361</v>
      </c>
      <c r="C13" s="18">
        <v>2020</v>
      </c>
      <c r="D13" s="14">
        <v>31139</v>
      </c>
      <c r="E13" s="14">
        <v>0</v>
      </c>
      <c r="F13" s="14">
        <v>0</v>
      </c>
      <c r="G13" s="14">
        <v>0</v>
      </c>
      <c r="H13" s="14">
        <v>0</v>
      </c>
      <c r="I13" s="13">
        <v>0</v>
      </c>
      <c r="J13" s="14" t="str">
        <f t="shared" si="2"/>
        <v>0/1361/2020/31139/0/0/0/0/0</v>
      </c>
      <c r="K13" s="21" t="s">
        <v>2909</v>
      </c>
      <c r="L13" s="22"/>
      <c r="M13" s="22"/>
      <c r="N13" s="20"/>
      <c r="O13" s="17">
        <v>100</v>
      </c>
      <c r="P13" s="17">
        <v>100</v>
      </c>
      <c r="Q13" s="17"/>
      <c r="R13" s="17"/>
      <c r="S13" s="17"/>
      <c r="T13" s="57"/>
    </row>
    <row r="14" spans="1:22" ht="15" customHeight="1" outlineLevel="2" x14ac:dyDescent="0.25">
      <c r="A14" s="14">
        <v>0</v>
      </c>
      <c r="B14" s="14">
        <v>1361</v>
      </c>
      <c r="C14" s="205">
        <v>2020</v>
      </c>
      <c r="D14" s="14">
        <v>31025</v>
      </c>
      <c r="E14" s="14">
        <v>0</v>
      </c>
      <c r="F14" s="14">
        <v>0</v>
      </c>
      <c r="G14" s="14">
        <v>0</v>
      </c>
      <c r="H14" s="14">
        <v>0</v>
      </c>
      <c r="I14" s="13">
        <v>0</v>
      </c>
      <c r="J14" s="14" t="str">
        <f t="shared" si="2"/>
        <v>0/1361/2020/31025/0/0/0/0/0</v>
      </c>
      <c r="K14" s="21" t="s">
        <v>49</v>
      </c>
      <c r="L14" s="22">
        <v>45720</v>
      </c>
      <c r="M14" s="22">
        <v>43560</v>
      </c>
      <c r="N14" s="20">
        <v>109080</v>
      </c>
      <c r="O14" s="17">
        <v>107850</v>
      </c>
      <c r="P14" s="17">
        <v>175275</v>
      </c>
      <c r="Q14" s="17"/>
      <c r="R14" s="17"/>
      <c r="S14" s="17">
        <v>160000</v>
      </c>
      <c r="T14" s="57"/>
    </row>
    <row r="15" spans="1:22" ht="14.45" customHeight="1" outlineLevel="2" x14ac:dyDescent="0.25">
      <c r="A15" s="236">
        <v>0</v>
      </c>
      <c r="B15" s="236">
        <v>1361</v>
      </c>
      <c r="C15" s="236">
        <v>2020</v>
      </c>
      <c r="D15" s="236">
        <v>31067</v>
      </c>
      <c r="E15" s="236">
        <v>0</v>
      </c>
      <c r="F15" s="236">
        <v>0</v>
      </c>
      <c r="G15" s="236">
        <v>0</v>
      </c>
      <c r="H15" s="236">
        <v>0</v>
      </c>
      <c r="I15" s="236">
        <v>0</v>
      </c>
      <c r="J15" s="14" t="s">
        <v>4528</v>
      </c>
      <c r="K15" s="238" t="s">
        <v>4507</v>
      </c>
      <c r="L15" s="22"/>
      <c r="M15" s="22"/>
      <c r="N15" s="20"/>
      <c r="O15" s="17"/>
      <c r="P15" s="17">
        <v>100</v>
      </c>
      <c r="Q15" s="17"/>
      <c r="R15" s="17"/>
      <c r="S15" s="17"/>
      <c r="T15" s="57"/>
    </row>
    <row r="16" spans="1:22" ht="14.45" customHeight="1" outlineLevel="2" x14ac:dyDescent="0.25">
      <c r="A16" s="14">
        <v>0</v>
      </c>
      <c r="B16" s="14">
        <v>1361</v>
      </c>
      <c r="C16" s="205">
        <v>2020</v>
      </c>
      <c r="D16" s="14">
        <v>31024</v>
      </c>
      <c r="E16" s="14">
        <v>0</v>
      </c>
      <c r="F16" s="14">
        <v>0</v>
      </c>
      <c r="G16" s="14">
        <v>0</v>
      </c>
      <c r="H16" s="14">
        <v>0</v>
      </c>
      <c r="I16" s="13">
        <v>0</v>
      </c>
      <c r="J16" s="14" t="str">
        <f t="shared" ref="J16:J33" si="3">CONCATENATE(A16,"/",B16,"/",C16,"/",D16,"/",E16,"/",F16,"/",G16,"/",H16,"/",I16)</f>
        <v>0/1361/2020/31024/0/0/0/0/0</v>
      </c>
      <c r="K16" s="21" t="s">
        <v>50</v>
      </c>
      <c r="L16" s="22">
        <v>107340</v>
      </c>
      <c r="M16" s="22">
        <v>78280</v>
      </c>
      <c r="N16" s="20">
        <v>85460</v>
      </c>
      <c r="O16" s="17">
        <v>85750</v>
      </c>
      <c r="P16" s="17">
        <v>70640</v>
      </c>
      <c r="Q16" s="17"/>
      <c r="R16" s="17"/>
      <c r="S16" s="17">
        <v>60000</v>
      </c>
      <c r="T16" s="57"/>
    </row>
    <row r="17" spans="1:22" ht="15" customHeight="1" outlineLevel="2" x14ac:dyDescent="0.25">
      <c r="A17" s="14">
        <v>0</v>
      </c>
      <c r="B17" s="14">
        <v>1361</v>
      </c>
      <c r="C17" s="205">
        <v>2020</v>
      </c>
      <c r="D17" s="14">
        <v>31142</v>
      </c>
      <c r="E17" s="14">
        <v>0</v>
      </c>
      <c r="F17" s="14">
        <v>0</v>
      </c>
      <c r="G17" s="14">
        <v>0</v>
      </c>
      <c r="H17" s="14">
        <v>0</v>
      </c>
      <c r="I17" s="13">
        <v>0</v>
      </c>
      <c r="J17" s="14" t="str">
        <f t="shared" si="3"/>
        <v>0/1361/2020/31142/0/0/0/0/0</v>
      </c>
      <c r="K17" s="21" t="s">
        <v>17</v>
      </c>
      <c r="L17" s="22">
        <v>1381000</v>
      </c>
      <c r="M17" s="22">
        <v>1261700</v>
      </c>
      <c r="N17" s="20">
        <v>459100</v>
      </c>
      <c r="O17" s="17">
        <v>784100</v>
      </c>
      <c r="P17" s="17">
        <v>2101050</v>
      </c>
      <c r="Q17" s="17">
        <v>1800000</v>
      </c>
      <c r="R17" s="17">
        <v>1800000</v>
      </c>
      <c r="S17" s="17">
        <v>1600000</v>
      </c>
      <c r="T17" s="57"/>
    </row>
    <row r="18" spans="1:22" ht="14.45" customHeight="1" outlineLevel="2" x14ac:dyDescent="0.25">
      <c r="A18" s="14">
        <v>0</v>
      </c>
      <c r="B18" s="14">
        <v>1361</v>
      </c>
      <c r="C18" s="205">
        <v>2020</v>
      </c>
      <c r="D18" s="14">
        <v>31143</v>
      </c>
      <c r="E18" s="14">
        <v>0</v>
      </c>
      <c r="F18" s="14">
        <v>0</v>
      </c>
      <c r="G18" s="14">
        <v>0</v>
      </c>
      <c r="H18" s="14">
        <v>0</v>
      </c>
      <c r="I18" s="13">
        <v>0</v>
      </c>
      <c r="J18" s="14" t="str">
        <f t="shared" si="3"/>
        <v>0/1361/2020/31143/0/0/0/0/0</v>
      </c>
      <c r="K18" s="21" t="s">
        <v>18</v>
      </c>
      <c r="L18" s="22">
        <v>10050</v>
      </c>
      <c r="M18" s="22">
        <v>2750</v>
      </c>
      <c r="N18" s="20">
        <v>3000</v>
      </c>
      <c r="O18" s="17">
        <v>1750</v>
      </c>
      <c r="P18" s="17">
        <v>2485</v>
      </c>
      <c r="Q18" s="17">
        <v>2000</v>
      </c>
      <c r="R18" s="17">
        <v>2000</v>
      </c>
      <c r="S18" s="17">
        <v>2200</v>
      </c>
      <c r="T18" s="57"/>
    </row>
    <row r="19" spans="1:22" ht="15" customHeight="1" outlineLevel="2" x14ac:dyDescent="0.25">
      <c r="A19" s="14">
        <v>0</v>
      </c>
      <c r="B19" s="14">
        <v>1361</v>
      </c>
      <c r="C19" s="205">
        <v>2020</v>
      </c>
      <c r="D19" s="14">
        <v>31038</v>
      </c>
      <c r="E19" s="14">
        <v>0</v>
      </c>
      <c r="F19" s="14">
        <v>0</v>
      </c>
      <c r="G19" s="14">
        <v>0</v>
      </c>
      <c r="H19" s="14">
        <v>0</v>
      </c>
      <c r="I19" s="13">
        <v>0</v>
      </c>
      <c r="J19" s="14" t="str">
        <f t="shared" si="3"/>
        <v>0/1361/2020/31038/0/0/0/0/0</v>
      </c>
      <c r="K19" s="21" t="s">
        <v>3775</v>
      </c>
      <c r="L19" s="22">
        <v>940</v>
      </c>
      <c r="M19" s="22">
        <v>1370</v>
      </c>
      <c r="N19" s="20">
        <v>1400</v>
      </c>
      <c r="O19" s="17">
        <v>1450</v>
      </c>
      <c r="P19" s="17">
        <v>1850</v>
      </c>
      <c r="Q19" s="17">
        <v>1000</v>
      </c>
      <c r="R19" s="17">
        <v>1000</v>
      </c>
      <c r="S19" s="17">
        <v>1000</v>
      </c>
      <c r="T19" s="57"/>
    </row>
    <row r="20" spans="1:22" ht="14.45" customHeight="1" outlineLevel="2" x14ac:dyDescent="0.25">
      <c r="A20" s="14">
        <v>0</v>
      </c>
      <c r="B20" s="14">
        <v>1361</v>
      </c>
      <c r="C20" s="205">
        <v>2020</v>
      </c>
      <c r="D20" s="14">
        <v>31140</v>
      </c>
      <c r="E20" s="14">
        <v>0</v>
      </c>
      <c r="F20" s="14">
        <v>0</v>
      </c>
      <c r="G20" s="14">
        <v>0</v>
      </c>
      <c r="H20" s="14">
        <v>0</v>
      </c>
      <c r="I20" s="13">
        <v>0</v>
      </c>
      <c r="J20" s="14" t="str">
        <f t="shared" si="3"/>
        <v>0/1361/2020/31140/0/0/0/0/0</v>
      </c>
      <c r="K20" s="21" t="s">
        <v>19</v>
      </c>
      <c r="L20" s="22">
        <v>53000</v>
      </c>
      <c r="M20" s="22">
        <v>48800</v>
      </c>
      <c r="N20" s="20">
        <v>39750</v>
      </c>
      <c r="O20" s="17">
        <v>56340</v>
      </c>
      <c r="P20" s="17">
        <v>79400</v>
      </c>
      <c r="Q20" s="17">
        <v>50000</v>
      </c>
      <c r="R20" s="17">
        <v>50000</v>
      </c>
      <c r="S20" s="17">
        <v>70000</v>
      </c>
      <c r="T20" s="57"/>
    </row>
    <row r="21" spans="1:22" ht="15" customHeight="1" outlineLevel="2" x14ac:dyDescent="0.25">
      <c r="A21" s="14">
        <v>0</v>
      </c>
      <c r="B21" s="14">
        <v>1361</v>
      </c>
      <c r="C21" s="205">
        <v>2020</v>
      </c>
      <c r="D21" s="14">
        <v>31147</v>
      </c>
      <c r="E21" s="14">
        <v>0</v>
      </c>
      <c r="F21" s="14">
        <v>0</v>
      </c>
      <c r="G21" s="14">
        <v>0</v>
      </c>
      <c r="H21" s="14">
        <v>0</v>
      </c>
      <c r="I21" s="13">
        <v>0</v>
      </c>
      <c r="J21" s="14" t="str">
        <f t="shared" si="3"/>
        <v>0/1361/2020/31147/0/0/0/0/0</v>
      </c>
      <c r="K21" s="21" t="s">
        <v>20</v>
      </c>
      <c r="L21" s="22">
        <v>7200</v>
      </c>
      <c r="M21" s="22">
        <v>10750</v>
      </c>
      <c r="N21" s="20">
        <v>9750</v>
      </c>
      <c r="O21" s="17">
        <v>12000</v>
      </c>
      <c r="P21" s="17">
        <v>22000</v>
      </c>
      <c r="Q21" s="17">
        <v>15000</v>
      </c>
      <c r="R21" s="17">
        <v>15000</v>
      </c>
      <c r="S21" s="17">
        <v>20000</v>
      </c>
      <c r="T21" s="57"/>
    </row>
    <row r="22" spans="1:22" ht="15" customHeight="1" outlineLevel="2" x14ac:dyDescent="0.25">
      <c r="A22" s="14">
        <v>0</v>
      </c>
      <c r="B22" s="14">
        <v>1361</v>
      </c>
      <c r="C22" s="205">
        <v>2020</v>
      </c>
      <c r="D22" s="14">
        <v>31149</v>
      </c>
      <c r="E22" s="14">
        <v>0</v>
      </c>
      <c r="F22" s="14">
        <v>0</v>
      </c>
      <c r="G22" s="14">
        <v>0</v>
      </c>
      <c r="H22" s="14">
        <v>0</v>
      </c>
      <c r="I22" s="13">
        <v>0</v>
      </c>
      <c r="J22" s="14" t="str">
        <f t="shared" si="3"/>
        <v>0/1361/2020/31149/0/0/0/0/0</v>
      </c>
      <c r="K22" s="21" t="s">
        <v>21</v>
      </c>
      <c r="L22" s="22">
        <v>31400</v>
      </c>
      <c r="M22" s="22">
        <v>63800</v>
      </c>
      <c r="N22" s="20">
        <v>54650</v>
      </c>
      <c r="O22" s="17">
        <v>86750</v>
      </c>
      <c r="P22" s="17">
        <v>166800</v>
      </c>
      <c r="Q22" s="17">
        <v>90000</v>
      </c>
      <c r="R22" s="17">
        <v>90000</v>
      </c>
      <c r="S22" s="17">
        <v>160000</v>
      </c>
      <c r="T22" s="57"/>
    </row>
    <row r="23" spans="1:22" ht="15" customHeight="1" outlineLevel="2" x14ac:dyDescent="0.25">
      <c r="A23" s="14">
        <v>0</v>
      </c>
      <c r="B23" s="14">
        <v>1361</v>
      </c>
      <c r="C23" s="205">
        <v>2020</v>
      </c>
      <c r="D23" s="14">
        <v>31148</v>
      </c>
      <c r="E23" s="14">
        <v>0</v>
      </c>
      <c r="F23" s="14">
        <v>0</v>
      </c>
      <c r="G23" s="14">
        <v>0</v>
      </c>
      <c r="H23" s="14">
        <v>0</v>
      </c>
      <c r="I23" s="13">
        <v>0</v>
      </c>
      <c r="J23" s="14" t="str">
        <f t="shared" si="3"/>
        <v>0/1361/2020/31148/0/0/0/0/0</v>
      </c>
      <c r="K23" s="21" t="s">
        <v>22</v>
      </c>
      <c r="L23" s="22">
        <v>2700</v>
      </c>
      <c r="M23" s="22">
        <v>500</v>
      </c>
      <c r="N23" s="20">
        <v>400</v>
      </c>
      <c r="O23" s="17">
        <v>500</v>
      </c>
      <c r="P23" s="17">
        <v>600</v>
      </c>
      <c r="Q23" s="17"/>
      <c r="R23" s="17"/>
      <c r="S23" s="17">
        <v>500</v>
      </c>
      <c r="T23" s="57"/>
    </row>
    <row r="24" spans="1:22" ht="15" customHeight="1" outlineLevel="2" x14ac:dyDescent="0.25">
      <c r="A24" s="14">
        <v>0</v>
      </c>
      <c r="B24" s="14">
        <v>1361</v>
      </c>
      <c r="C24" s="205">
        <v>2020</v>
      </c>
      <c r="D24" s="14">
        <v>31146</v>
      </c>
      <c r="E24" s="14">
        <v>0</v>
      </c>
      <c r="F24" s="14">
        <v>0</v>
      </c>
      <c r="G24" s="14">
        <v>0</v>
      </c>
      <c r="H24" s="14">
        <v>0</v>
      </c>
      <c r="I24" s="13">
        <v>0</v>
      </c>
      <c r="J24" s="14" t="str">
        <f t="shared" si="3"/>
        <v>0/1361/2020/31146/0/0/0/0/0</v>
      </c>
      <c r="K24" s="21" t="s">
        <v>23</v>
      </c>
      <c r="L24" s="22">
        <v>16300</v>
      </c>
      <c r="M24" s="22">
        <v>16800</v>
      </c>
      <c r="N24" s="20">
        <v>10850</v>
      </c>
      <c r="O24" s="17">
        <v>20300</v>
      </c>
      <c r="P24" s="17">
        <v>55100</v>
      </c>
      <c r="Q24" s="17">
        <v>40000</v>
      </c>
      <c r="R24" s="17">
        <v>40000</v>
      </c>
      <c r="S24" s="17">
        <v>55000</v>
      </c>
      <c r="T24" s="57"/>
    </row>
    <row r="25" spans="1:22" ht="15" customHeight="1" outlineLevel="2" x14ac:dyDescent="0.25">
      <c r="A25" s="14">
        <v>0</v>
      </c>
      <c r="B25" s="14">
        <v>1361</v>
      </c>
      <c r="C25" s="205">
        <v>2020</v>
      </c>
      <c r="D25" s="14">
        <v>31010</v>
      </c>
      <c r="E25" s="14">
        <v>0</v>
      </c>
      <c r="F25" s="14">
        <v>0</v>
      </c>
      <c r="G25" s="14">
        <v>0</v>
      </c>
      <c r="H25" s="14">
        <v>0</v>
      </c>
      <c r="I25" s="13">
        <v>0</v>
      </c>
      <c r="J25" s="14" t="str">
        <f t="shared" si="3"/>
        <v>0/1361/2020/31010/0/0/0/0/0</v>
      </c>
      <c r="K25" s="21" t="s">
        <v>24</v>
      </c>
      <c r="L25" s="22">
        <v>21300</v>
      </c>
      <c r="M25" s="22">
        <v>10800</v>
      </c>
      <c r="N25" s="20">
        <v>13200</v>
      </c>
      <c r="O25" s="17">
        <v>12400</v>
      </c>
      <c r="P25" s="17">
        <v>19800</v>
      </c>
      <c r="Q25" s="16">
        <v>10000</v>
      </c>
      <c r="R25" s="16">
        <v>10000</v>
      </c>
      <c r="S25" s="16">
        <v>15000</v>
      </c>
      <c r="T25" s="57"/>
    </row>
    <row r="26" spans="1:22" ht="15" customHeight="1" outlineLevel="2" x14ac:dyDescent="0.25">
      <c r="A26" s="14">
        <v>0</v>
      </c>
      <c r="B26" s="14">
        <v>1361</v>
      </c>
      <c r="C26" s="205">
        <v>2020</v>
      </c>
      <c r="D26" s="14">
        <v>31040</v>
      </c>
      <c r="E26" s="14">
        <v>0</v>
      </c>
      <c r="F26" s="14">
        <v>0</v>
      </c>
      <c r="G26" s="14">
        <v>0</v>
      </c>
      <c r="H26" s="14">
        <v>0</v>
      </c>
      <c r="I26" s="13">
        <v>0</v>
      </c>
      <c r="J26" s="14" t="str">
        <f t="shared" si="3"/>
        <v>0/1361/2020/31040/0/0/0/0/0</v>
      </c>
      <c r="K26" s="21" t="s">
        <v>3776</v>
      </c>
      <c r="L26" s="22">
        <v>1000</v>
      </c>
      <c r="M26" s="22">
        <v>10000</v>
      </c>
      <c r="N26" s="20">
        <v>4400</v>
      </c>
      <c r="O26" s="17">
        <v>3600</v>
      </c>
      <c r="P26" s="17">
        <v>1800</v>
      </c>
      <c r="Q26" s="17"/>
      <c r="R26" s="17"/>
      <c r="S26" s="17">
        <v>2200</v>
      </c>
      <c r="T26" s="57"/>
    </row>
    <row r="27" spans="1:22" ht="15" customHeight="1" outlineLevel="2" x14ac:dyDescent="0.25">
      <c r="A27" s="14">
        <v>0</v>
      </c>
      <c r="B27" s="14">
        <v>1361</v>
      </c>
      <c r="C27" s="205">
        <v>2020</v>
      </c>
      <c r="D27" s="14">
        <v>31138</v>
      </c>
      <c r="E27" s="14">
        <v>0</v>
      </c>
      <c r="F27" s="14">
        <v>0</v>
      </c>
      <c r="G27" s="14">
        <v>0</v>
      </c>
      <c r="H27" s="14">
        <v>0</v>
      </c>
      <c r="I27" s="13">
        <v>0</v>
      </c>
      <c r="J27" s="14" t="str">
        <f t="shared" si="3"/>
        <v>0/1361/2020/31138/0/0/0/0/0</v>
      </c>
      <c r="K27" s="21" t="s">
        <v>26</v>
      </c>
      <c r="L27" s="22">
        <f>800+200</f>
        <v>1000</v>
      </c>
      <c r="M27" s="22">
        <f>1200+600</f>
        <v>1800</v>
      </c>
      <c r="N27" s="20">
        <v>500</v>
      </c>
      <c r="O27" s="17">
        <v>1900</v>
      </c>
      <c r="P27" s="17">
        <v>800</v>
      </c>
      <c r="Q27" s="16"/>
      <c r="R27" s="16"/>
      <c r="S27" s="16">
        <v>800</v>
      </c>
      <c r="T27" s="57"/>
    </row>
    <row r="28" spans="1:22" ht="14.45" customHeight="1" outlineLevel="2" x14ac:dyDescent="0.25">
      <c r="A28" s="14">
        <v>0</v>
      </c>
      <c r="B28" s="14">
        <v>1361</v>
      </c>
      <c r="C28" s="205">
        <v>2020</v>
      </c>
      <c r="D28" s="14">
        <v>31046</v>
      </c>
      <c r="E28" s="14">
        <v>0</v>
      </c>
      <c r="F28" s="14">
        <v>0</v>
      </c>
      <c r="G28" s="14">
        <v>0</v>
      </c>
      <c r="H28" s="14">
        <v>0</v>
      </c>
      <c r="I28" s="13">
        <v>0</v>
      </c>
      <c r="J28" s="14" t="str">
        <f t="shared" si="3"/>
        <v>0/1361/2020/31046/0/0/0/0/0</v>
      </c>
      <c r="K28" s="21" t="s">
        <v>27</v>
      </c>
      <c r="L28" s="22">
        <v>22350</v>
      </c>
      <c r="M28" s="22">
        <v>28650</v>
      </c>
      <c r="N28" s="20">
        <v>23050</v>
      </c>
      <c r="O28" s="17">
        <v>25850</v>
      </c>
      <c r="P28" s="17">
        <v>21250</v>
      </c>
      <c r="Q28" s="16">
        <v>20000</v>
      </c>
      <c r="R28" s="16">
        <v>20000</v>
      </c>
      <c r="S28" s="16">
        <v>20000</v>
      </c>
      <c r="T28" s="57"/>
    </row>
    <row r="29" spans="1:22" ht="15" customHeight="1" outlineLevel="2" x14ac:dyDescent="0.25">
      <c r="A29" s="14">
        <v>0</v>
      </c>
      <c r="B29" s="14">
        <v>1361</v>
      </c>
      <c r="C29" s="205">
        <v>2020</v>
      </c>
      <c r="D29" s="14">
        <v>31150</v>
      </c>
      <c r="E29" s="14">
        <v>0</v>
      </c>
      <c r="F29" s="14">
        <v>0</v>
      </c>
      <c r="G29" s="14">
        <v>0</v>
      </c>
      <c r="H29" s="14">
        <v>0</v>
      </c>
      <c r="I29" s="13">
        <v>0</v>
      </c>
      <c r="J29" s="14" t="str">
        <f t="shared" si="3"/>
        <v>0/1361/2020/31150/0/0/0/0/0</v>
      </c>
      <c r="K29" s="21" t="s">
        <v>28</v>
      </c>
      <c r="L29" s="22">
        <v>4800</v>
      </c>
      <c r="M29" s="22">
        <v>6100</v>
      </c>
      <c r="N29" s="20">
        <v>6100</v>
      </c>
      <c r="O29" s="17">
        <v>2900</v>
      </c>
      <c r="P29" s="17">
        <v>5400</v>
      </c>
      <c r="Q29" s="17">
        <v>3000</v>
      </c>
      <c r="R29" s="17">
        <v>3000</v>
      </c>
      <c r="S29" s="17">
        <v>3000</v>
      </c>
      <c r="T29" s="57"/>
    </row>
    <row r="30" spans="1:22" ht="14.45" customHeight="1" outlineLevel="2" x14ac:dyDescent="0.25">
      <c r="A30" s="14">
        <v>0</v>
      </c>
      <c r="B30" s="14">
        <v>1361</v>
      </c>
      <c r="C30" s="205">
        <v>2020</v>
      </c>
      <c r="D30" s="14">
        <v>31006</v>
      </c>
      <c r="E30" s="14">
        <v>0</v>
      </c>
      <c r="F30" s="14">
        <v>0</v>
      </c>
      <c r="G30" s="14">
        <v>0</v>
      </c>
      <c r="H30" s="14">
        <v>0</v>
      </c>
      <c r="I30" s="13">
        <v>0</v>
      </c>
      <c r="J30" s="14" t="str">
        <f t="shared" si="3"/>
        <v>0/1361/2020/31006/0/0/0/0/0</v>
      </c>
      <c r="K30" s="21" t="s">
        <v>29</v>
      </c>
      <c r="L30" s="22">
        <v>110000</v>
      </c>
      <c r="M30" s="22">
        <v>125000</v>
      </c>
      <c r="N30" s="20">
        <v>122000</v>
      </c>
      <c r="O30" s="17">
        <v>94000</v>
      </c>
      <c r="P30" s="17">
        <v>171500</v>
      </c>
      <c r="Q30" s="16">
        <v>150000</v>
      </c>
      <c r="R30" s="16">
        <v>150000</v>
      </c>
      <c r="S30" s="16">
        <v>170000</v>
      </c>
      <c r="T30" s="57"/>
    </row>
    <row r="31" spans="1:22" s="39" customFormat="1" ht="15" customHeight="1" outlineLevel="2" x14ac:dyDescent="0.25">
      <c r="A31" s="14">
        <v>0</v>
      </c>
      <c r="B31" s="14">
        <v>1361</v>
      </c>
      <c r="C31" s="205">
        <v>2020</v>
      </c>
      <c r="D31" s="14">
        <v>31151</v>
      </c>
      <c r="E31" s="14">
        <v>0</v>
      </c>
      <c r="F31" s="14">
        <v>0</v>
      </c>
      <c r="G31" s="14">
        <v>0</v>
      </c>
      <c r="H31" s="14">
        <v>0</v>
      </c>
      <c r="I31" s="13">
        <v>0</v>
      </c>
      <c r="J31" s="14" t="str">
        <f t="shared" si="3"/>
        <v>0/1361/2020/31151/0/0/0/0/0</v>
      </c>
      <c r="K31" s="21" t="s">
        <v>3777</v>
      </c>
      <c r="L31" s="22">
        <v>1100</v>
      </c>
      <c r="M31" s="22">
        <v>500</v>
      </c>
      <c r="N31" s="20">
        <v>200</v>
      </c>
      <c r="O31" s="17">
        <v>0</v>
      </c>
      <c r="P31" s="17">
        <v>200</v>
      </c>
      <c r="Q31" s="17">
        <v>500</v>
      </c>
      <c r="R31" s="17">
        <v>500</v>
      </c>
      <c r="S31" s="17">
        <v>500</v>
      </c>
      <c r="T31" s="57"/>
      <c r="V31" s="43"/>
    </row>
    <row r="32" spans="1:22" s="39" customFormat="1" ht="15" customHeight="1" outlineLevel="2" x14ac:dyDescent="0.25">
      <c r="A32" s="14">
        <v>0</v>
      </c>
      <c r="B32" s="14">
        <v>1361</v>
      </c>
      <c r="C32" s="205">
        <v>2020</v>
      </c>
      <c r="D32" s="14">
        <v>31026</v>
      </c>
      <c r="E32" s="14">
        <v>0</v>
      </c>
      <c r="F32" s="14">
        <v>0</v>
      </c>
      <c r="G32" s="14">
        <v>0</v>
      </c>
      <c r="H32" s="14">
        <v>0</v>
      </c>
      <c r="I32" s="13">
        <v>0</v>
      </c>
      <c r="J32" s="14" t="str">
        <f t="shared" si="3"/>
        <v>0/1361/2020/31026/0/0/0/0/0</v>
      </c>
      <c r="K32" s="21" t="s">
        <v>30</v>
      </c>
      <c r="L32" s="22">
        <v>27540</v>
      </c>
      <c r="M32" s="22">
        <v>30810</v>
      </c>
      <c r="N32" s="20">
        <v>23870.2</v>
      </c>
      <c r="O32" s="17">
        <v>26680</v>
      </c>
      <c r="P32" s="17">
        <v>32970</v>
      </c>
      <c r="Q32" s="16">
        <v>30000</v>
      </c>
      <c r="R32" s="16">
        <v>30000</v>
      </c>
      <c r="S32" s="16">
        <v>30000</v>
      </c>
      <c r="T32" s="57"/>
      <c r="V32" s="43"/>
    </row>
    <row r="33" spans="1:22" ht="15" customHeight="1" outlineLevel="2" x14ac:dyDescent="0.25">
      <c r="A33" s="14">
        <v>0</v>
      </c>
      <c r="B33" s="14">
        <v>1361</v>
      </c>
      <c r="C33" s="205">
        <v>2020</v>
      </c>
      <c r="D33" s="14">
        <v>31137</v>
      </c>
      <c r="E33" s="14">
        <v>0</v>
      </c>
      <c r="F33" s="14">
        <v>0</v>
      </c>
      <c r="G33" s="14">
        <v>0</v>
      </c>
      <c r="H33" s="14">
        <v>0</v>
      </c>
      <c r="I33" s="13">
        <v>0</v>
      </c>
      <c r="J33" s="14" t="str">
        <f t="shared" si="3"/>
        <v>0/1361/2020/31137/0/0/0/0/0</v>
      </c>
      <c r="K33" s="21" t="s">
        <v>4401</v>
      </c>
      <c r="L33" s="22">
        <v>10200</v>
      </c>
      <c r="M33" s="22">
        <v>8600</v>
      </c>
      <c r="N33" s="20">
        <v>6900</v>
      </c>
      <c r="O33" s="17">
        <v>10100</v>
      </c>
      <c r="P33" s="17">
        <v>11600</v>
      </c>
      <c r="Q33" s="17">
        <v>5000</v>
      </c>
      <c r="R33" s="17">
        <v>5000</v>
      </c>
      <c r="S33" s="17">
        <v>10000</v>
      </c>
      <c r="T33" s="57"/>
    </row>
    <row r="34" spans="1:22" ht="15" customHeight="1" outlineLevel="2" x14ac:dyDescent="0.25">
      <c r="A34" s="236">
        <v>0</v>
      </c>
      <c r="B34" s="236">
        <v>1361</v>
      </c>
      <c r="C34" s="236">
        <v>2020</v>
      </c>
      <c r="D34" s="236">
        <v>31052</v>
      </c>
      <c r="E34" s="236">
        <v>0</v>
      </c>
      <c r="F34" s="236">
        <v>0</v>
      </c>
      <c r="G34" s="236">
        <v>0</v>
      </c>
      <c r="H34" s="236">
        <v>0</v>
      </c>
      <c r="I34" s="236">
        <v>0</v>
      </c>
      <c r="J34" s="14" t="s">
        <v>4527</v>
      </c>
      <c r="K34" s="238" t="s">
        <v>2892</v>
      </c>
      <c r="L34" s="22"/>
      <c r="M34" s="22"/>
      <c r="N34" s="20"/>
      <c r="O34" s="17"/>
      <c r="P34" s="17">
        <v>100</v>
      </c>
      <c r="Q34" s="17"/>
      <c r="R34" s="17"/>
      <c r="S34" s="17"/>
      <c r="T34" s="57"/>
    </row>
    <row r="35" spans="1:22" ht="15" customHeight="1" outlineLevel="2" x14ac:dyDescent="0.25">
      <c r="A35" s="237">
        <v>6171</v>
      </c>
      <c r="B35" s="237">
        <v>2133</v>
      </c>
      <c r="C35" s="237">
        <v>2020</v>
      </c>
      <c r="D35" s="237">
        <v>31032</v>
      </c>
      <c r="E35" s="237">
        <v>0</v>
      </c>
      <c r="F35" s="237">
        <v>0</v>
      </c>
      <c r="G35" s="237">
        <v>0</v>
      </c>
      <c r="H35" s="237">
        <v>31</v>
      </c>
      <c r="I35" s="237">
        <v>0</v>
      </c>
      <c r="J35" s="14" t="s">
        <v>4570</v>
      </c>
      <c r="K35" s="238" t="s">
        <v>2874</v>
      </c>
      <c r="L35" s="22"/>
      <c r="M35" s="22"/>
      <c r="N35" s="20"/>
      <c r="O35" s="17"/>
      <c r="P35" s="17">
        <v>1370</v>
      </c>
      <c r="Q35" s="17"/>
      <c r="R35" s="17"/>
      <c r="S35" s="17"/>
      <c r="T35" s="166"/>
    </row>
    <row r="36" spans="1:22" ht="15" customHeight="1" outlineLevel="2" x14ac:dyDescent="0.25">
      <c r="A36" s="14">
        <v>6171</v>
      </c>
      <c r="B36" s="14">
        <v>2133</v>
      </c>
      <c r="C36" s="205">
        <v>2020</v>
      </c>
      <c r="D36" s="14">
        <v>31032</v>
      </c>
      <c r="E36" s="14">
        <v>0</v>
      </c>
      <c r="F36" s="14">
        <v>0</v>
      </c>
      <c r="G36" s="14">
        <v>0</v>
      </c>
      <c r="H36" s="14">
        <v>0</v>
      </c>
      <c r="I36" s="13">
        <v>0</v>
      </c>
      <c r="J36" s="14" t="str">
        <f>CONCATENATE(A36,"/",B36,"/",C36,"/",D36,"/",E36,"/",F36,"/",G36,"/",H36,"/",I36)</f>
        <v>6171/2133/2020/31032/0/0/0/0/0</v>
      </c>
      <c r="K36" s="21" t="s">
        <v>25</v>
      </c>
      <c r="L36" s="22">
        <v>1440</v>
      </c>
      <c r="M36" s="22">
        <v>960</v>
      </c>
      <c r="N36" s="20">
        <v>930</v>
      </c>
      <c r="O36" s="17">
        <v>480</v>
      </c>
      <c r="P36" s="17"/>
      <c r="Q36" s="17">
        <v>1000</v>
      </c>
      <c r="R36" s="17">
        <v>1000</v>
      </c>
      <c r="S36" s="17">
        <v>1000</v>
      </c>
      <c r="T36" s="166"/>
    </row>
    <row r="37" spans="1:22" s="39" customFormat="1" ht="15" customHeight="1" outlineLevel="2" x14ac:dyDescent="0.25">
      <c r="A37" s="14">
        <v>6171</v>
      </c>
      <c r="B37" s="14">
        <v>2212</v>
      </c>
      <c r="C37" s="205">
        <v>2020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3">
        <v>0</v>
      </c>
      <c r="J37" s="14" t="str">
        <f>CONCATENATE(A37,"/",B37,"/",C37,"/",D37,"/",E37,"/",F37,"/",G37,"/",H37,"/",I37)</f>
        <v>6171/2212/2020/0/0/0/0/0/0</v>
      </c>
      <c r="K37" s="21" t="s">
        <v>15</v>
      </c>
      <c r="L37" s="22">
        <v>380905.3</v>
      </c>
      <c r="M37" s="22">
        <v>320267.36</v>
      </c>
      <c r="N37" s="20">
        <f>201562.87+42784</f>
        <v>244346.87</v>
      </c>
      <c r="O37" s="17">
        <v>274448.11</v>
      </c>
      <c r="P37" s="17">
        <v>201971.09</v>
      </c>
      <c r="Q37" s="22"/>
      <c r="R37" s="22">
        <v>71430.489999999991</v>
      </c>
      <c r="S37" s="22">
        <v>0</v>
      </c>
      <c r="T37" s="57"/>
      <c r="V37" s="43"/>
    </row>
    <row r="38" spans="1:22" s="39" customFormat="1" ht="15" customHeight="1" outlineLevel="1" x14ac:dyDescent="0.25">
      <c r="A38" s="409"/>
      <c r="B38" s="409"/>
      <c r="C38" s="418" t="s">
        <v>4657</v>
      </c>
      <c r="D38" s="409"/>
      <c r="E38" s="409"/>
      <c r="F38" s="409"/>
      <c r="G38" s="409"/>
      <c r="H38" s="409"/>
      <c r="I38" s="409"/>
      <c r="J38" s="409"/>
      <c r="K38" s="411"/>
      <c r="L38" s="412">
        <f t="shared" ref="L38:S38" si="4">SUBTOTAL(9,L5:L37)</f>
        <v>2306080.2999999998</v>
      </c>
      <c r="M38" s="412">
        <f t="shared" si="4"/>
        <v>2127527.36</v>
      </c>
      <c r="N38" s="413">
        <f t="shared" si="4"/>
        <v>1264617.0699999998</v>
      </c>
      <c r="O38" s="414">
        <f t="shared" si="4"/>
        <v>1650203.1099999999</v>
      </c>
      <c r="P38" s="414">
        <f t="shared" si="4"/>
        <v>3188111.09</v>
      </c>
      <c r="Q38" s="412">
        <f t="shared" si="4"/>
        <v>2217500</v>
      </c>
      <c r="R38" s="412">
        <f t="shared" si="4"/>
        <v>2288930.4900000002</v>
      </c>
      <c r="S38" s="412">
        <f t="shared" si="4"/>
        <v>2414500</v>
      </c>
      <c r="T38" s="415"/>
      <c r="V38" s="43"/>
    </row>
    <row r="39" spans="1:22" ht="15" customHeight="1" outlineLevel="2" x14ac:dyDescent="0.25">
      <c r="A39" s="14">
        <v>0</v>
      </c>
      <c r="B39" s="14">
        <v>1361</v>
      </c>
      <c r="C39" s="205">
        <v>2030</v>
      </c>
      <c r="D39" s="14">
        <v>31029</v>
      </c>
      <c r="E39" s="14">
        <v>0</v>
      </c>
      <c r="F39" s="14">
        <v>0</v>
      </c>
      <c r="G39" s="14">
        <v>0</v>
      </c>
      <c r="H39" s="14">
        <v>0</v>
      </c>
      <c r="I39" s="13">
        <v>0</v>
      </c>
      <c r="J39" s="14" t="str">
        <f t="shared" ref="J39:J48" si="5">CONCATENATE(A39,"/",B39,"/",C39,"/",D39,"/",E39,"/",F39,"/",G39,"/",H39,"/",I39)</f>
        <v>0/1361/2030/31029/0/0/0/0/0</v>
      </c>
      <c r="K39" s="21" t="s">
        <v>32</v>
      </c>
      <c r="L39" s="22">
        <v>500</v>
      </c>
      <c r="M39" s="22">
        <v>8500</v>
      </c>
      <c r="N39" s="20">
        <v>5500</v>
      </c>
      <c r="O39" s="17">
        <v>7000</v>
      </c>
      <c r="P39" s="17">
        <v>11000</v>
      </c>
      <c r="Q39" s="17">
        <v>5000</v>
      </c>
      <c r="R39" s="17">
        <v>5000</v>
      </c>
      <c r="S39" s="17">
        <v>5000</v>
      </c>
      <c r="T39" s="57"/>
    </row>
    <row r="40" spans="1:22" ht="15" customHeight="1" outlineLevel="2" x14ac:dyDescent="0.25">
      <c r="A40" s="14">
        <v>0</v>
      </c>
      <c r="B40" s="14">
        <v>1361</v>
      </c>
      <c r="C40" s="205">
        <v>2030</v>
      </c>
      <c r="D40" s="14">
        <v>31019</v>
      </c>
      <c r="E40" s="14">
        <v>0</v>
      </c>
      <c r="F40" s="14">
        <v>0</v>
      </c>
      <c r="G40" s="14">
        <v>0</v>
      </c>
      <c r="H40" s="14">
        <v>0</v>
      </c>
      <c r="I40" s="13">
        <v>0</v>
      </c>
      <c r="J40" s="14" t="str">
        <f t="shared" si="5"/>
        <v>0/1361/2030/31019/0/0/0/0/0</v>
      </c>
      <c r="K40" s="21" t="s">
        <v>33</v>
      </c>
      <c r="L40" s="22">
        <v>18000</v>
      </c>
      <c r="M40" s="22">
        <v>19000</v>
      </c>
      <c r="N40" s="20">
        <v>10500</v>
      </c>
      <c r="O40" s="17">
        <v>20500</v>
      </c>
      <c r="P40" s="17">
        <v>14000</v>
      </c>
      <c r="Q40" s="17">
        <v>11000</v>
      </c>
      <c r="R40" s="17">
        <v>11000</v>
      </c>
      <c r="S40" s="17">
        <v>11000</v>
      </c>
      <c r="T40" s="57"/>
    </row>
    <row r="41" spans="1:22" ht="15" customHeight="1" outlineLevel="2" x14ac:dyDescent="0.25">
      <c r="A41" s="14">
        <v>0</v>
      </c>
      <c r="B41" s="14">
        <v>1361</v>
      </c>
      <c r="C41" s="205">
        <v>2030</v>
      </c>
      <c r="D41" s="14">
        <v>31031</v>
      </c>
      <c r="E41" s="14">
        <v>0</v>
      </c>
      <c r="F41" s="14">
        <v>0</v>
      </c>
      <c r="G41" s="14">
        <v>0</v>
      </c>
      <c r="H41" s="14">
        <v>0</v>
      </c>
      <c r="I41" s="13">
        <v>0</v>
      </c>
      <c r="J41" s="14" t="str">
        <f t="shared" si="5"/>
        <v>0/1361/2030/31031/0/0/0/0/0</v>
      </c>
      <c r="K41" s="21" t="s">
        <v>34</v>
      </c>
      <c r="L41" s="22"/>
      <c r="M41" s="22">
        <v>75</v>
      </c>
      <c r="N41" s="20"/>
      <c r="O41" s="17">
        <v>0</v>
      </c>
      <c r="P41" s="17"/>
      <c r="Q41" s="17">
        <v>500</v>
      </c>
      <c r="R41" s="17">
        <v>500</v>
      </c>
      <c r="S41" s="17">
        <v>500</v>
      </c>
      <c r="T41" s="57"/>
    </row>
    <row r="42" spans="1:22" s="39" customFormat="1" ht="15" customHeight="1" outlineLevel="2" x14ac:dyDescent="0.25">
      <c r="A42" s="14">
        <v>0</v>
      </c>
      <c r="B42" s="14">
        <v>1361</v>
      </c>
      <c r="C42" s="205">
        <v>2030</v>
      </c>
      <c r="D42" s="14">
        <v>31002</v>
      </c>
      <c r="E42" s="14">
        <v>0</v>
      </c>
      <c r="F42" s="14">
        <v>0</v>
      </c>
      <c r="G42" s="14">
        <v>0</v>
      </c>
      <c r="H42" s="14">
        <v>0</v>
      </c>
      <c r="I42" s="13">
        <v>0</v>
      </c>
      <c r="J42" s="14" t="str">
        <f t="shared" si="5"/>
        <v>0/1361/2030/31002/0/0/0/0/0</v>
      </c>
      <c r="K42" s="21" t="s">
        <v>35</v>
      </c>
      <c r="L42" s="22">
        <v>14520</v>
      </c>
      <c r="M42" s="22">
        <v>5150</v>
      </c>
      <c r="N42" s="20">
        <v>1000</v>
      </c>
      <c r="O42" s="17">
        <v>1500</v>
      </c>
      <c r="P42" s="17">
        <v>2090</v>
      </c>
      <c r="Q42" s="17">
        <v>2000</v>
      </c>
      <c r="R42" s="17">
        <v>2000</v>
      </c>
      <c r="S42" s="17">
        <v>2000</v>
      </c>
      <c r="T42" s="57"/>
      <c r="V42" s="43"/>
    </row>
    <row r="43" spans="1:22" ht="15" customHeight="1" outlineLevel="2" x14ac:dyDescent="0.25">
      <c r="A43" s="14">
        <v>0</v>
      </c>
      <c r="B43" s="14">
        <v>1361</v>
      </c>
      <c r="C43" s="205">
        <v>2030</v>
      </c>
      <c r="D43" s="14">
        <v>31007</v>
      </c>
      <c r="E43" s="14">
        <v>0</v>
      </c>
      <c r="F43" s="14">
        <v>0</v>
      </c>
      <c r="G43" s="14">
        <v>0</v>
      </c>
      <c r="H43" s="14">
        <v>0</v>
      </c>
      <c r="I43" s="13">
        <v>0</v>
      </c>
      <c r="J43" s="14" t="str">
        <f t="shared" si="5"/>
        <v>0/1361/2030/31007/0/0/0/0/0</v>
      </c>
      <c r="K43" s="21" t="s">
        <v>36</v>
      </c>
      <c r="L43" s="22">
        <v>651350</v>
      </c>
      <c r="M43" s="22">
        <v>500550</v>
      </c>
      <c r="N43" s="20">
        <v>521500</v>
      </c>
      <c r="O43" s="17">
        <v>696550</v>
      </c>
      <c r="P43" s="17">
        <v>770000</v>
      </c>
      <c r="Q43" s="17">
        <v>500000</v>
      </c>
      <c r="R43" s="17">
        <v>500000</v>
      </c>
      <c r="S43" s="17">
        <v>500000</v>
      </c>
      <c r="T43" s="57"/>
    </row>
    <row r="44" spans="1:22" s="39" customFormat="1" ht="15" customHeight="1" outlineLevel="2" x14ac:dyDescent="0.25">
      <c r="A44" s="14">
        <v>0</v>
      </c>
      <c r="B44" s="14">
        <v>1361</v>
      </c>
      <c r="C44" s="205">
        <v>2030</v>
      </c>
      <c r="D44" s="14">
        <v>31030</v>
      </c>
      <c r="E44" s="14">
        <v>0</v>
      </c>
      <c r="F44" s="14">
        <v>0</v>
      </c>
      <c r="G44" s="14">
        <v>0</v>
      </c>
      <c r="H44" s="14">
        <v>0</v>
      </c>
      <c r="I44" s="13">
        <v>0</v>
      </c>
      <c r="J44" s="14" t="str">
        <f t="shared" si="5"/>
        <v>0/1361/2030/31030/0/0/0/0/0</v>
      </c>
      <c r="K44" s="21" t="s">
        <v>37</v>
      </c>
      <c r="L44" s="22">
        <v>91000</v>
      </c>
      <c r="M44" s="22">
        <v>12000</v>
      </c>
      <c r="N44" s="20">
        <v>25000</v>
      </c>
      <c r="O44" s="17">
        <v>39000</v>
      </c>
      <c r="P44" s="17">
        <v>55000</v>
      </c>
      <c r="Q44" s="17">
        <v>10000</v>
      </c>
      <c r="R44" s="17">
        <v>10000</v>
      </c>
      <c r="S44" s="17">
        <v>10000</v>
      </c>
      <c r="T44" s="57"/>
      <c r="V44" s="43"/>
    </row>
    <row r="45" spans="1:22" s="39" customFormat="1" ht="15" customHeight="1" outlineLevel="2" x14ac:dyDescent="0.25">
      <c r="A45" s="14">
        <v>0</v>
      </c>
      <c r="B45" s="14">
        <v>1361</v>
      </c>
      <c r="C45" s="205">
        <v>2030</v>
      </c>
      <c r="D45" s="14">
        <v>31004</v>
      </c>
      <c r="E45" s="14">
        <v>0</v>
      </c>
      <c r="F45" s="14">
        <v>0</v>
      </c>
      <c r="G45" s="14">
        <v>0</v>
      </c>
      <c r="H45" s="14">
        <v>0</v>
      </c>
      <c r="I45" s="13">
        <v>0</v>
      </c>
      <c r="J45" s="14" t="str">
        <f t="shared" si="5"/>
        <v>0/1361/2030/31004/0/0/0/0/0</v>
      </c>
      <c r="K45" s="21" t="s">
        <v>38</v>
      </c>
      <c r="L45" s="22">
        <v>173500</v>
      </c>
      <c r="M45" s="22">
        <v>191500</v>
      </c>
      <c r="N45" s="20">
        <v>144800</v>
      </c>
      <c r="O45" s="17">
        <v>151300</v>
      </c>
      <c r="P45" s="17">
        <v>79500</v>
      </c>
      <c r="Q45" s="17">
        <v>260000</v>
      </c>
      <c r="R45" s="17">
        <v>260000</v>
      </c>
      <c r="S45" s="17">
        <v>260000</v>
      </c>
      <c r="T45" s="57"/>
      <c r="V45" s="43"/>
    </row>
    <row r="46" spans="1:22" s="39" customFormat="1" ht="15" customHeight="1" outlineLevel="2" x14ac:dyDescent="0.25">
      <c r="A46" s="14">
        <v>0</v>
      </c>
      <c r="B46" s="14">
        <v>1361</v>
      </c>
      <c r="C46" s="205">
        <v>2030</v>
      </c>
      <c r="D46" s="14">
        <v>31005</v>
      </c>
      <c r="E46" s="14">
        <v>0</v>
      </c>
      <c r="F46" s="14">
        <v>0</v>
      </c>
      <c r="G46" s="14">
        <v>0</v>
      </c>
      <c r="H46" s="14">
        <v>0</v>
      </c>
      <c r="I46" s="13">
        <v>0</v>
      </c>
      <c r="J46" s="14" t="str">
        <f t="shared" si="5"/>
        <v>0/1361/2030/31005/0/0/0/0/0</v>
      </c>
      <c r="K46" s="21" t="s">
        <v>39</v>
      </c>
      <c r="L46" s="22">
        <v>0</v>
      </c>
      <c r="M46" s="22">
        <v>0</v>
      </c>
      <c r="N46" s="20"/>
      <c r="O46" s="17">
        <v>5000</v>
      </c>
      <c r="P46" s="17"/>
      <c r="Q46" s="17">
        <v>10000</v>
      </c>
      <c r="R46" s="17">
        <v>10000</v>
      </c>
      <c r="S46" s="17">
        <v>10000</v>
      </c>
      <c r="T46" s="57"/>
      <c r="V46" s="43"/>
    </row>
    <row r="47" spans="1:22" s="39" customFormat="1" ht="15" customHeight="1" outlineLevel="2" x14ac:dyDescent="0.25">
      <c r="A47" s="14">
        <v>0</v>
      </c>
      <c r="B47" s="14">
        <v>1361</v>
      </c>
      <c r="C47" s="205">
        <v>2030</v>
      </c>
      <c r="D47" s="14">
        <v>31028</v>
      </c>
      <c r="E47" s="14">
        <v>0</v>
      </c>
      <c r="F47" s="14">
        <v>0</v>
      </c>
      <c r="G47" s="14">
        <v>0</v>
      </c>
      <c r="H47" s="14">
        <v>0</v>
      </c>
      <c r="I47" s="13">
        <v>0</v>
      </c>
      <c r="J47" s="14" t="str">
        <f t="shared" si="5"/>
        <v>0/1361/2030/31028/0/0/0/0/0</v>
      </c>
      <c r="K47" s="21" t="s">
        <v>40</v>
      </c>
      <c r="L47" s="22">
        <v>6500</v>
      </c>
      <c r="M47" s="22">
        <v>5500</v>
      </c>
      <c r="N47" s="20">
        <v>2500</v>
      </c>
      <c r="O47" s="17">
        <v>19500</v>
      </c>
      <c r="P47" s="17">
        <v>19000</v>
      </c>
      <c r="Q47" s="17">
        <v>8000</v>
      </c>
      <c r="R47" s="17">
        <v>8000</v>
      </c>
      <c r="S47" s="17">
        <v>8000</v>
      </c>
      <c r="T47" s="57"/>
      <c r="V47" s="43"/>
    </row>
    <row r="48" spans="1:22" ht="15" customHeight="1" outlineLevel="2" x14ac:dyDescent="0.25">
      <c r="A48" s="14">
        <v>0</v>
      </c>
      <c r="B48" s="14">
        <v>2212</v>
      </c>
      <c r="C48" s="205">
        <v>2030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3">
        <v>0</v>
      </c>
      <c r="J48" s="14" t="str">
        <f t="shared" si="5"/>
        <v>0/2212/2030/0/0/0/0/0/0</v>
      </c>
      <c r="K48" s="19" t="s">
        <v>31</v>
      </c>
      <c r="L48" s="22">
        <v>500000</v>
      </c>
      <c r="M48" s="22">
        <v>1000</v>
      </c>
      <c r="N48" s="20"/>
      <c r="O48" s="17">
        <v>0</v>
      </c>
      <c r="P48" s="17">
        <f>55000+2100</f>
        <v>57100</v>
      </c>
      <c r="Q48" s="17"/>
      <c r="R48" s="17">
        <v>4000</v>
      </c>
      <c r="S48" s="17">
        <v>0</v>
      </c>
      <c r="T48" s="57"/>
    </row>
    <row r="49" spans="1:22" ht="15" customHeight="1" outlineLevel="1" x14ac:dyDescent="0.25">
      <c r="A49" s="409"/>
      <c r="B49" s="409"/>
      <c r="C49" s="418" t="s">
        <v>4658</v>
      </c>
      <c r="D49" s="409"/>
      <c r="E49" s="409"/>
      <c r="F49" s="409"/>
      <c r="G49" s="409"/>
      <c r="H49" s="409"/>
      <c r="I49" s="409"/>
      <c r="J49" s="14"/>
      <c r="K49" s="419"/>
      <c r="L49" s="412">
        <f t="shared" ref="L49:S49" si="6">SUBTOTAL(9,L39:L48)</f>
        <v>1455370</v>
      </c>
      <c r="M49" s="412">
        <f t="shared" si="6"/>
        <v>743275</v>
      </c>
      <c r="N49" s="413">
        <f t="shared" si="6"/>
        <v>710800</v>
      </c>
      <c r="O49" s="414">
        <f t="shared" si="6"/>
        <v>940350</v>
      </c>
      <c r="P49" s="414">
        <f t="shared" si="6"/>
        <v>1007690</v>
      </c>
      <c r="Q49" s="414">
        <f t="shared" si="6"/>
        <v>806500</v>
      </c>
      <c r="R49" s="414">
        <f t="shared" si="6"/>
        <v>810500</v>
      </c>
      <c r="S49" s="414">
        <f t="shared" si="6"/>
        <v>806500</v>
      </c>
      <c r="T49" s="415"/>
    </row>
    <row r="50" spans="1:22" ht="15" customHeight="1" outlineLevel="2" x14ac:dyDescent="0.25">
      <c r="A50" s="13">
        <v>0</v>
      </c>
      <c r="B50" s="13">
        <v>2451</v>
      </c>
      <c r="C50" s="13">
        <v>2040</v>
      </c>
      <c r="D50" s="13">
        <v>52584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4" t="str">
        <f>CONCATENATE(A50,"/",B50,"/",C50,"/",D50,"/",E50,"/",F50,"/",G50,"/",H50,"/",I50)</f>
        <v>0/2451/2040/52584/0/0/0/0/0</v>
      </c>
      <c r="K50" s="15" t="s">
        <v>4367</v>
      </c>
      <c r="L50" s="22"/>
      <c r="M50" s="22"/>
      <c r="N50" s="20"/>
      <c r="O50" s="17">
        <v>0</v>
      </c>
      <c r="P50" s="17">
        <v>30000000</v>
      </c>
      <c r="Q50" s="16"/>
      <c r="R50" s="16"/>
      <c r="S50" s="16"/>
      <c r="T50" s="57"/>
    </row>
    <row r="51" spans="1:22" s="182" customFormat="1" ht="15" customHeight="1" outlineLevel="2" x14ac:dyDescent="0.25">
      <c r="A51" s="237">
        <v>3312</v>
      </c>
      <c r="B51" s="237">
        <v>2111</v>
      </c>
      <c r="C51" s="237">
        <v>2040</v>
      </c>
      <c r="D51" s="237">
        <v>52620</v>
      </c>
      <c r="E51" s="237">
        <v>0</v>
      </c>
      <c r="F51" s="237">
        <v>0</v>
      </c>
      <c r="G51" s="237">
        <v>0</v>
      </c>
      <c r="H51" s="237">
        <v>0</v>
      </c>
      <c r="I51" s="237">
        <v>0</v>
      </c>
      <c r="J51" s="14" t="s">
        <v>4532</v>
      </c>
      <c r="K51" s="238" t="s">
        <v>5087</v>
      </c>
      <c r="L51" s="22"/>
      <c r="M51" s="22"/>
      <c r="N51" s="20"/>
      <c r="O51" s="17"/>
      <c r="P51" s="17">
        <v>195710.33</v>
      </c>
      <c r="Q51" s="17"/>
      <c r="R51" s="17"/>
      <c r="S51" s="17"/>
      <c r="T51" s="166"/>
      <c r="V51" s="556"/>
    </row>
    <row r="52" spans="1:22" ht="15" customHeight="1" outlineLevel="2" x14ac:dyDescent="0.25">
      <c r="A52" s="237">
        <v>3312</v>
      </c>
      <c r="B52" s="237">
        <v>2321</v>
      </c>
      <c r="C52" s="237">
        <v>2040</v>
      </c>
      <c r="D52" s="237">
        <v>52620</v>
      </c>
      <c r="E52" s="237">
        <v>0</v>
      </c>
      <c r="F52" s="237">
        <v>0</v>
      </c>
      <c r="G52" s="237">
        <v>0</v>
      </c>
      <c r="H52" s="237">
        <v>1</v>
      </c>
      <c r="I52" s="237">
        <v>0</v>
      </c>
      <c r="J52" s="14" t="s">
        <v>4577</v>
      </c>
      <c r="K52" s="238" t="s">
        <v>4513</v>
      </c>
      <c r="L52" s="22"/>
      <c r="M52" s="22"/>
      <c r="N52" s="20"/>
      <c r="O52" s="17"/>
      <c r="P52" s="17">
        <v>40000</v>
      </c>
      <c r="Q52" s="17"/>
      <c r="R52" s="17"/>
      <c r="S52" s="17">
        <v>35000</v>
      </c>
      <c r="T52" s="57"/>
    </row>
    <row r="53" spans="1:22" s="39" customFormat="1" ht="30" customHeight="1" outlineLevel="2" x14ac:dyDescent="0.25">
      <c r="A53" s="237">
        <v>3312</v>
      </c>
      <c r="B53" s="237">
        <v>2324</v>
      </c>
      <c r="C53" s="237">
        <v>2040</v>
      </c>
      <c r="D53" s="237">
        <v>52620</v>
      </c>
      <c r="E53" s="237">
        <v>0</v>
      </c>
      <c r="F53" s="237">
        <v>0</v>
      </c>
      <c r="G53" s="237">
        <v>0</v>
      </c>
      <c r="H53" s="237">
        <v>0</v>
      </c>
      <c r="I53" s="237">
        <v>0</v>
      </c>
      <c r="J53" s="14" t="s">
        <v>4586</v>
      </c>
      <c r="K53" s="238" t="s">
        <v>4517</v>
      </c>
      <c r="L53" s="22"/>
      <c r="M53" s="22"/>
      <c r="N53" s="20"/>
      <c r="O53" s="17"/>
      <c r="P53" s="17">
        <v>62400</v>
      </c>
      <c r="Q53" s="17"/>
      <c r="R53" s="17"/>
      <c r="S53" s="17">
        <v>50000</v>
      </c>
      <c r="T53" s="57"/>
      <c r="V53" s="43"/>
    </row>
    <row r="54" spans="1:22" s="39" customFormat="1" ht="15" customHeight="1" outlineLevel="2" x14ac:dyDescent="0.25">
      <c r="A54" s="399">
        <v>3314</v>
      </c>
      <c r="B54" s="399">
        <v>2229</v>
      </c>
      <c r="C54" s="399">
        <v>2040</v>
      </c>
      <c r="D54" s="399">
        <v>52584</v>
      </c>
      <c r="E54" s="14"/>
      <c r="F54" s="14"/>
      <c r="G54" s="14"/>
      <c r="H54" s="14"/>
      <c r="I54" s="13"/>
      <c r="J54" s="14"/>
      <c r="K54" s="21" t="s">
        <v>4630</v>
      </c>
      <c r="L54" s="22"/>
      <c r="M54" s="22"/>
      <c r="N54" s="20"/>
      <c r="O54" s="17"/>
      <c r="P54" s="17"/>
      <c r="Q54" s="17"/>
      <c r="R54" s="17">
        <v>1652354.05</v>
      </c>
      <c r="S54" s="17"/>
      <c r="T54" s="57"/>
      <c r="V54" s="43"/>
    </row>
    <row r="55" spans="1:22" s="39" customFormat="1" ht="33" customHeight="1" outlineLevel="2" x14ac:dyDescent="0.25">
      <c r="A55" s="237">
        <v>3316</v>
      </c>
      <c r="B55" s="237">
        <v>2112</v>
      </c>
      <c r="C55" s="237">
        <v>2040</v>
      </c>
      <c r="D55" s="237">
        <v>0</v>
      </c>
      <c r="E55" s="237">
        <v>0</v>
      </c>
      <c r="F55" s="237">
        <v>0</v>
      </c>
      <c r="G55" s="237">
        <v>0</v>
      </c>
      <c r="H55" s="237">
        <v>0</v>
      </c>
      <c r="I55" s="237">
        <v>0</v>
      </c>
      <c r="J55" s="14" t="s">
        <v>4553</v>
      </c>
      <c r="K55" s="238" t="s">
        <v>4511</v>
      </c>
      <c r="L55" s="22"/>
      <c r="M55" s="22"/>
      <c r="N55" s="20"/>
      <c r="O55" s="17"/>
      <c r="P55" s="17">
        <v>850</v>
      </c>
      <c r="Q55" s="17"/>
      <c r="R55" s="17"/>
      <c r="S55" s="17"/>
      <c r="T55" s="166"/>
      <c r="V55" s="43"/>
    </row>
    <row r="56" spans="1:22" ht="15" customHeight="1" outlineLevel="2" x14ac:dyDescent="0.25">
      <c r="A56" s="14">
        <v>3322</v>
      </c>
      <c r="B56" s="14">
        <v>2111</v>
      </c>
      <c r="C56" s="205">
        <v>2040</v>
      </c>
      <c r="D56" s="14">
        <v>11634</v>
      </c>
      <c r="E56" s="14">
        <v>0</v>
      </c>
      <c r="F56" s="14">
        <v>0</v>
      </c>
      <c r="G56" s="14">
        <v>0</v>
      </c>
      <c r="H56" s="14">
        <v>0</v>
      </c>
      <c r="I56" s="13">
        <v>0</v>
      </c>
      <c r="J56" s="14" t="str">
        <f>CONCATENATE(A56,"/",B56,"/",C56,"/",D56,"/",E56,"/",F56,"/",G56,"/",H56,"/",I56)</f>
        <v>3322/2111/2040/11634/0/0/0/0/0</v>
      </c>
      <c r="K56" s="21" t="s">
        <v>114</v>
      </c>
      <c r="L56" s="22">
        <f>48280+2939</f>
        <v>51219</v>
      </c>
      <c r="M56" s="22">
        <f>44900+1895</f>
        <v>46795</v>
      </c>
      <c r="N56" s="20">
        <f>25280+1059</f>
        <v>26339</v>
      </c>
      <c r="O56" s="17">
        <v>47740</v>
      </c>
      <c r="P56" s="17">
        <v>60600</v>
      </c>
      <c r="Q56" s="16">
        <v>10000</v>
      </c>
      <c r="R56" s="16">
        <v>10000</v>
      </c>
      <c r="S56" s="16">
        <v>10000</v>
      </c>
      <c r="T56" s="166"/>
    </row>
    <row r="57" spans="1:22" ht="15" customHeight="1" outlineLevel="2" x14ac:dyDescent="0.25">
      <c r="A57" s="237">
        <v>3322</v>
      </c>
      <c r="B57" s="237">
        <v>2111</v>
      </c>
      <c r="C57" s="237">
        <v>2040</v>
      </c>
      <c r="D57" s="237">
        <v>66003</v>
      </c>
      <c r="E57" s="237">
        <v>0</v>
      </c>
      <c r="F57" s="237">
        <v>0</v>
      </c>
      <c r="G57" s="237">
        <v>0</v>
      </c>
      <c r="H57" s="237">
        <v>0</v>
      </c>
      <c r="I57" s="237">
        <v>0</v>
      </c>
      <c r="J57" s="14" t="s">
        <v>4534</v>
      </c>
      <c r="K57" s="238" t="s">
        <v>4508</v>
      </c>
      <c r="L57" s="22"/>
      <c r="M57" s="22"/>
      <c r="N57" s="20"/>
      <c r="O57" s="17"/>
      <c r="P57" s="17">
        <v>144992.42000000001</v>
      </c>
      <c r="Q57" s="17"/>
      <c r="R57" s="17"/>
      <c r="S57" s="17"/>
      <c r="T57" s="166"/>
    </row>
    <row r="58" spans="1:22" s="39" customFormat="1" ht="15" customHeight="1" outlineLevel="2" x14ac:dyDescent="0.25">
      <c r="A58" s="237">
        <v>3322</v>
      </c>
      <c r="B58" s="237">
        <v>2112</v>
      </c>
      <c r="C58" s="237">
        <v>2040</v>
      </c>
      <c r="D58" s="237">
        <v>11634</v>
      </c>
      <c r="E58" s="237">
        <v>0</v>
      </c>
      <c r="F58" s="237">
        <v>0</v>
      </c>
      <c r="G58" s="237">
        <v>0</v>
      </c>
      <c r="H58" s="237">
        <v>0</v>
      </c>
      <c r="I58" s="237">
        <v>0</v>
      </c>
      <c r="J58" s="14" t="s">
        <v>4554</v>
      </c>
      <c r="K58" s="238" t="s">
        <v>2414</v>
      </c>
      <c r="L58" s="22"/>
      <c r="M58" s="22"/>
      <c r="N58" s="20"/>
      <c r="O58" s="17"/>
      <c r="P58" s="17">
        <v>612</v>
      </c>
      <c r="Q58" s="17"/>
      <c r="R58" s="17"/>
      <c r="S58" s="17"/>
      <c r="T58" s="166"/>
      <c r="V58" s="43"/>
    </row>
    <row r="59" spans="1:22" s="39" customFormat="1" ht="15" customHeight="1" outlineLevel="2" x14ac:dyDescent="0.25">
      <c r="A59" s="14">
        <v>3322</v>
      </c>
      <c r="B59" s="14">
        <v>2132</v>
      </c>
      <c r="C59" s="205">
        <v>2040</v>
      </c>
      <c r="D59" s="14">
        <v>11634</v>
      </c>
      <c r="E59" s="14">
        <v>0</v>
      </c>
      <c r="F59" s="14">
        <v>0</v>
      </c>
      <c r="G59" s="14">
        <v>0</v>
      </c>
      <c r="H59" s="14">
        <v>0</v>
      </c>
      <c r="I59" s="13">
        <v>0</v>
      </c>
      <c r="J59" s="14" t="str">
        <f>CONCATENATE(A59,"/",B59,"/",C59,"/",D59,"/",E59,"/",F59,"/",G59,"/",H59,"/",I59)</f>
        <v>3322/2132/2040/11634/0/0/0/0/0</v>
      </c>
      <c r="K59" s="21" t="s">
        <v>115</v>
      </c>
      <c r="L59" s="22">
        <v>5000</v>
      </c>
      <c r="M59" s="22">
        <v>11000</v>
      </c>
      <c r="N59" s="20">
        <v>4000</v>
      </c>
      <c r="O59" s="17">
        <v>3641</v>
      </c>
      <c r="P59" s="17">
        <v>9000</v>
      </c>
      <c r="Q59" s="16">
        <v>7000</v>
      </c>
      <c r="R59" s="16">
        <v>7000</v>
      </c>
      <c r="S59" s="16">
        <v>20000</v>
      </c>
      <c r="T59" s="166"/>
      <c r="V59" s="43"/>
    </row>
    <row r="60" spans="1:22" s="39" customFormat="1" ht="15" customHeight="1" outlineLevel="2" x14ac:dyDescent="0.25">
      <c r="A60" s="14">
        <v>3349</v>
      </c>
      <c r="B60" s="14">
        <v>2111</v>
      </c>
      <c r="C60" s="205">
        <v>2040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3">
        <v>0</v>
      </c>
      <c r="J60" s="14" t="str">
        <f>CONCATENATE(A60,"/",B60,"/",C60,"/",D60,"/",E60,"/",F60,"/",G60,"/",H60,"/",I60)</f>
        <v>3349/2111/2040/0/0/0/0/0/0</v>
      </c>
      <c r="K60" s="21" t="s">
        <v>117</v>
      </c>
      <c r="L60" s="22">
        <v>220951.84</v>
      </c>
      <c r="M60" s="22">
        <v>561019.4</v>
      </c>
      <c r="N60" s="20">
        <v>522653.35</v>
      </c>
      <c r="O60" s="17">
        <v>651509.51</v>
      </c>
      <c r="P60" s="17">
        <v>635854.13</v>
      </c>
      <c r="Q60" s="17">
        <v>400000</v>
      </c>
      <c r="R60" s="17">
        <v>400000</v>
      </c>
      <c r="S60" s="17">
        <v>400000</v>
      </c>
      <c r="T60" s="166"/>
      <c r="V60" s="43"/>
    </row>
    <row r="61" spans="1:22" s="182" customFormat="1" ht="15" customHeight="1" outlineLevel="2" x14ac:dyDescent="0.25">
      <c r="A61" s="14">
        <v>3349</v>
      </c>
      <c r="B61" s="14">
        <v>2112</v>
      </c>
      <c r="C61" s="18">
        <v>2040</v>
      </c>
      <c r="D61" s="14">
        <v>66625</v>
      </c>
      <c r="E61" s="14">
        <v>0</v>
      </c>
      <c r="F61" s="14">
        <v>0</v>
      </c>
      <c r="G61" s="14">
        <v>0</v>
      </c>
      <c r="H61" s="14">
        <v>0</v>
      </c>
      <c r="I61" s="13">
        <v>0</v>
      </c>
      <c r="J61" s="14" t="str">
        <f>CONCATENATE(A61,"/",B61,"/",C61,"/",D61,"/",E61,"/",F61,"/",G61,"/",H61,"/",I61)</f>
        <v>3349/2112/2040/66625/0/0/0/0/0</v>
      </c>
      <c r="K61" s="21" t="s">
        <v>116</v>
      </c>
      <c r="L61" s="22">
        <v>6921.39</v>
      </c>
      <c r="M61" s="22">
        <v>4338.3100000000004</v>
      </c>
      <c r="N61" s="20">
        <v>6182.17</v>
      </c>
      <c r="O61" s="17">
        <f>6514.3+450</f>
        <v>6964.3</v>
      </c>
      <c r="P61" s="17">
        <v>9606.67</v>
      </c>
      <c r="Q61" s="17">
        <v>8000</v>
      </c>
      <c r="R61" s="17">
        <v>8000</v>
      </c>
      <c r="S61" s="17">
        <v>8000</v>
      </c>
      <c r="T61" s="166"/>
      <c r="V61" s="556"/>
    </row>
    <row r="62" spans="1:22" s="39" customFormat="1" ht="30" customHeight="1" outlineLevel="2" x14ac:dyDescent="0.25">
      <c r="A62" s="14">
        <v>3349</v>
      </c>
      <c r="B62" s="14">
        <v>2310</v>
      </c>
      <c r="C62" s="18">
        <v>2040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3">
        <v>0</v>
      </c>
      <c r="J62" s="14" t="str">
        <f>CONCATENATE(A62,"/",B62,"/",C62,"/",D62,"/",E62,"/",F62,"/",G62,"/",H62,"/",I62)</f>
        <v>3349/2310/2040/0/0/0/0/0/0</v>
      </c>
      <c r="K62" s="21" t="s">
        <v>4005</v>
      </c>
      <c r="L62" s="22"/>
      <c r="M62" s="22"/>
      <c r="N62" s="20"/>
      <c r="O62" s="17">
        <v>703.09</v>
      </c>
      <c r="P62" s="17">
        <v>1640.17</v>
      </c>
      <c r="Q62" s="17"/>
      <c r="R62" s="17"/>
      <c r="S62" s="17"/>
      <c r="T62" s="57"/>
      <c r="V62" s="43"/>
    </row>
    <row r="63" spans="1:22" s="39" customFormat="1" ht="15" customHeight="1" outlineLevel="2" x14ac:dyDescent="0.25">
      <c r="A63" s="237">
        <v>3900</v>
      </c>
      <c r="B63" s="237">
        <v>2229</v>
      </c>
      <c r="C63" s="237">
        <v>2040</v>
      </c>
      <c r="D63" s="237">
        <v>0</v>
      </c>
      <c r="E63" s="237">
        <v>0</v>
      </c>
      <c r="F63" s="237">
        <v>0</v>
      </c>
      <c r="G63" s="237">
        <v>0</v>
      </c>
      <c r="H63" s="237">
        <v>50</v>
      </c>
      <c r="I63" s="237">
        <v>0</v>
      </c>
      <c r="J63" s="14" t="s">
        <v>4575</v>
      </c>
      <c r="K63" s="238" t="s">
        <v>4603</v>
      </c>
      <c r="L63" s="22"/>
      <c r="M63" s="22"/>
      <c r="N63" s="20"/>
      <c r="O63" s="17"/>
      <c r="P63" s="17">
        <v>24420</v>
      </c>
      <c r="Q63" s="17"/>
      <c r="R63" s="17"/>
      <c r="S63" s="17"/>
      <c r="T63" s="57"/>
      <c r="V63" s="43"/>
    </row>
    <row r="64" spans="1:22" s="39" customFormat="1" ht="15" customHeight="1" outlineLevel="1" x14ac:dyDescent="0.25">
      <c r="A64" s="420"/>
      <c r="B64" s="420"/>
      <c r="C64" s="421" t="s">
        <v>4659</v>
      </c>
      <c r="D64" s="420"/>
      <c r="E64" s="420"/>
      <c r="F64" s="420"/>
      <c r="G64" s="420"/>
      <c r="H64" s="420"/>
      <c r="I64" s="420"/>
      <c r="J64" s="14"/>
      <c r="K64" s="422"/>
      <c r="L64" s="412">
        <f t="shared" ref="L64:S64" si="7">SUBTOTAL(9,L50:L63)</f>
        <v>284092.23</v>
      </c>
      <c r="M64" s="412">
        <f t="shared" si="7"/>
        <v>623152.71000000008</v>
      </c>
      <c r="N64" s="413">
        <f t="shared" si="7"/>
        <v>559174.52</v>
      </c>
      <c r="O64" s="414">
        <f t="shared" si="7"/>
        <v>710557.9</v>
      </c>
      <c r="P64" s="414">
        <f t="shared" si="7"/>
        <v>31185685.720000003</v>
      </c>
      <c r="Q64" s="414">
        <f t="shared" si="7"/>
        <v>425000</v>
      </c>
      <c r="R64" s="414">
        <f t="shared" si="7"/>
        <v>2077354.05</v>
      </c>
      <c r="S64" s="414">
        <f t="shared" si="7"/>
        <v>523000</v>
      </c>
      <c r="T64" s="415"/>
      <c r="V64" s="43"/>
    </row>
    <row r="65" spans="1:22" s="39" customFormat="1" ht="15" customHeight="1" outlineLevel="2" x14ac:dyDescent="0.25">
      <c r="A65" s="18">
        <v>2143</v>
      </c>
      <c r="B65" s="18">
        <v>2111</v>
      </c>
      <c r="C65" s="205">
        <v>2045</v>
      </c>
      <c r="D65" s="14">
        <v>18667</v>
      </c>
      <c r="E65" s="18">
        <v>0</v>
      </c>
      <c r="F65" s="18">
        <v>0</v>
      </c>
      <c r="G65" s="18">
        <v>0</v>
      </c>
      <c r="H65" s="18">
        <v>70</v>
      </c>
      <c r="I65" s="13">
        <v>0</v>
      </c>
      <c r="J65" s="14" t="str">
        <f t="shared" ref="J65:J70" si="8">CONCATENATE(A65,"/",B65,"/",C65,"/",D65,"/",E65,"/",F65,"/",G65,"/",H65,"/",I65)</f>
        <v>2143/2111/2045/18667/0/0/0/70/0</v>
      </c>
      <c r="K65" s="55" t="s">
        <v>3899</v>
      </c>
      <c r="L65" s="17"/>
      <c r="M65" s="17"/>
      <c r="N65" s="20">
        <f>14720+1660</f>
        <v>16380</v>
      </c>
      <c r="O65" s="17">
        <f>20010+2100</f>
        <v>22110</v>
      </c>
      <c r="P65" s="17">
        <v>32460</v>
      </c>
      <c r="Q65" s="17">
        <v>30000</v>
      </c>
      <c r="R65" s="17">
        <v>30000</v>
      </c>
      <c r="S65" s="17">
        <v>30000</v>
      </c>
      <c r="T65" s="166"/>
      <c r="V65" s="43"/>
    </row>
    <row r="66" spans="1:22" s="39" customFormat="1" ht="15" customHeight="1" outlineLevel="2" x14ac:dyDescent="0.25">
      <c r="A66" s="14">
        <v>2143</v>
      </c>
      <c r="B66" s="14">
        <v>2111</v>
      </c>
      <c r="C66" s="205">
        <v>2045</v>
      </c>
      <c r="D66" s="14">
        <v>18667</v>
      </c>
      <c r="E66" s="14">
        <v>0</v>
      </c>
      <c r="F66" s="14">
        <v>0</v>
      </c>
      <c r="G66" s="14">
        <v>0</v>
      </c>
      <c r="H66" s="14">
        <v>0</v>
      </c>
      <c r="I66" s="13">
        <v>0</v>
      </c>
      <c r="J66" s="14" t="str">
        <f t="shared" si="8"/>
        <v>2143/2111/2045/18667/0/0/0/0/0</v>
      </c>
      <c r="K66" s="21" t="s">
        <v>3827</v>
      </c>
      <c r="L66" s="22">
        <f>132603.24+99658.16+326</f>
        <v>232587.4</v>
      </c>
      <c r="M66" s="22">
        <f>148841.18+34419.84+66</f>
        <v>183327.02</v>
      </c>
      <c r="N66" s="20">
        <f>62668.93+150</f>
        <v>62818.93</v>
      </c>
      <c r="O66" s="17">
        <v>33900.339999999997</v>
      </c>
      <c r="P66" s="17">
        <f>66604.03+2100</f>
        <v>68704.03</v>
      </c>
      <c r="Q66" s="17">
        <v>90000</v>
      </c>
      <c r="R66" s="17">
        <v>90000</v>
      </c>
      <c r="S66" s="17">
        <v>100000</v>
      </c>
      <c r="T66" s="166"/>
      <c r="V66" s="43"/>
    </row>
    <row r="67" spans="1:22" ht="15" customHeight="1" outlineLevel="2" x14ac:dyDescent="0.25">
      <c r="A67" s="14">
        <v>2143</v>
      </c>
      <c r="B67" s="14">
        <v>2112</v>
      </c>
      <c r="C67" s="205">
        <v>2045</v>
      </c>
      <c r="D67" s="14">
        <v>18667</v>
      </c>
      <c r="E67" s="14">
        <v>0</v>
      </c>
      <c r="F67" s="14">
        <v>0</v>
      </c>
      <c r="G67" s="14">
        <v>0</v>
      </c>
      <c r="H67" s="14">
        <v>0</v>
      </c>
      <c r="I67" s="13">
        <v>0</v>
      </c>
      <c r="J67" s="14" t="str">
        <f t="shared" si="8"/>
        <v>2143/2112/2045/18667/0/0/0/0/0</v>
      </c>
      <c r="K67" s="21" t="s">
        <v>3825</v>
      </c>
      <c r="L67" s="22">
        <v>1231594</v>
      </c>
      <c r="M67" s="22">
        <v>1290383</v>
      </c>
      <c r="N67" s="22">
        <v>883900.46</v>
      </c>
      <c r="O67" s="17">
        <v>1150893</v>
      </c>
      <c r="P67" s="17">
        <v>1560424.13</v>
      </c>
      <c r="Q67" s="22">
        <f>1300000+100000</f>
        <v>1400000</v>
      </c>
      <c r="R67" s="22">
        <f>1300000+100000</f>
        <v>1400000</v>
      </c>
      <c r="S67" s="22">
        <v>1700000</v>
      </c>
      <c r="T67" s="166"/>
    </row>
    <row r="68" spans="1:22" s="182" customFormat="1" ht="30" customHeight="1" outlineLevel="2" x14ac:dyDescent="0.25">
      <c r="A68" s="14">
        <v>2143</v>
      </c>
      <c r="B68" s="14">
        <v>2133</v>
      </c>
      <c r="C68" s="205">
        <v>2045</v>
      </c>
      <c r="D68" s="14">
        <v>18667</v>
      </c>
      <c r="E68" s="14">
        <v>0</v>
      </c>
      <c r="F68" s="14">
        <v>0</v>
      </c>
      <c r="G68" s="14">
        <v>0</v>
      </c>
      <c r="H68" s="14">
        <v>1</v>
      </c>
      <c r="I68" s="13">
        <v>0</v>
      </c>
      <c r="J68" s="14" t="str">
        <f t="shared" si="8"/>
        <v>2143/2133/2045/18667/0/0/0/1/0</v>
      </c>
      <c r="K68" s="21" t="s">
        <v>3779</v>
      </c>
      <c r="L68" s="22"/>
      <c r="M68" s="22">
        <v>10600</v>
      </c>
      <c r="N68" s="20">
        <f>12200+4400</f>
        <v>16600</v>
      </c>
      <c r="O68" s="17">
        <v>10100</v>
      </c>
      <c r="P68" s="17">
        <v>40100</v>
      </c>
      <c r="Q68" s="17">
        <v>10000</v>
      </c>
      <c r="R68" s="17">
        <v>10000</v>
      </c>
      <c r="S68" s="17">
        <v>30000</v>
      </c>
      <c r="T68" s="166"/>
      <c r="V68" s="556"/>
    </row>
    <row r="69" spans="1:22" ht="15" customHeight="1" outlineLevel="2" x14ac:dyDescent="0.25">
      <c r="A69" s="14">
        <v>2143</v>
      </c>
      <c r="B69" s="14">
        <v>2133</v>
      </c>
      <c r="C69" s="205">
        <v>2045</v>
      </c>
      <c r="D69" s="14">
        <v>18667</v>
      </c>
      <c r="E69" s="14">
        <v>0</v>
      </c>
      <c r="F69" s="14">
        <v>0</v>
      </c>
      <c r="G69" s="14">
        <v>0</v>
      </c>
      <c r="H69" s="14">
        <v>2</v>
      </c>
      <c r="I69" s="13">
        <v>0</v>
      </c>
      <c r="J69" s="14" t="str">
        <f t="shared" si="8"/>
        <v>2143/2133/2045/18667/0/0/0/2/0</v>
      </c>
      <c r="K69" s="21" t="s">
        <v>3778</v>
      </c>
      <c r="L69" s="22"/>
      <c r="M69" s="22"/>
      <c r="N69" s="20">
        <v>1850</v>
      </c>
      <c r="O69" s="17">
        <v>2850</v>
      </c>
      <c r="P69" s="17">
        <v>9200</v>
      </c>
      <c r="Q69" s="17">
        <v>10000</v>
      </c>
      <c r="R69" s="17">
        <v>10000</v>
      </c>
      <c r="S69" s="17">
        <v>15000</v>
      </c>
      <c r="T69" s="166"/>
    </row>
    <row r="70" spans="1:22" s="39" customFormat="1" ht="15" customHeight="1" outlineLevel="2" x14ac:dyDescent="0.25">
      <c r="A70" s="14">
        <v>2143</v>
      </c>
      <c r="B70" s="14">
        <v>2329</v>
      </c>
      <c r="C70" s="205">
        <v>2045</v>
      </c>
      <c r="D70" s="14">
        <v>18667</v>
      </c>
      <c r="E70" s="14">
        <v>0</v>
      </c>
      <c r="F70" s="14">
        <v>0</v>
      </c>
      <c r="G70" s="14">
        <v>0</v>
      </c>
      <c r="H70" s="14">
        <v>0</v>
      </c>
      <c r="I70" s="13">
        <v>0</v>
      </c>
      <c r="J70" s="14" t="str">
        <f t="shared" si="8"/>
        <v>2143/2329/2045/18667/0/0/0/0/0</v>
      </c>
      <c r="K70" s="21" t="s">
        <v>3780</v>
      </c>
      <c r="L70" s="22">
        <v>4712.0600000000004</v>
      </c>
      <c r="M70" s="22">
        <v>10792.94</v>
      </c>
      <c r="N70" s="20">
        <v>13.01</v>
      </c>
      <c r="O70" s="17">
        <v>56.51</v>
      </c>
      <c r="P70" s="17">
        <v>39184.51</v>
      </c>
      <c r="Q70" s="17">
        <v>5000</v>
      </c>
      <c r="R70" s="17">
        <v>5000</v>
      </c>
      <c r="S70" s="17">
        <v>5000</v>
      </c>
      <c r="T70" s="57"/>
      <c r="V70" s="43"/>
    </row>
    <row r="71" spans="1:22" s="182" customFormat="1" ht="30" customHeight="1" outlineLevel="2" x14ac:dyDescent="0.25">
      <c r="A71" s="237">
        <v>3311</v>
      </c>
      <c r="B71" s="237">
        <v>2111</v>
      </c>
      <c r="C71" s="237">
        <v>2045</v>
      </c>
      <c r="D71" s="237">
        <v>52654</v>
      </c>
      <c r="E71" s="237">
        <v>0</v>
      </c>
      <c r="F71" s="237">
        <v>0</v>
      </c>
      <c r="G71" s="237">
        <v>0</v>
      </c>
      <c r="H71" s="237">
        <v>0</v>
      </c>
      <c r="I71" s="237">
        <v>0</v>
      </c>
      <c r="J71" s="14" t="s">
        <v>4531</v>
      </c>
      <c r="K71" s="238" t="s">
        <v>3385</v>
      </c>
      <c r="L71" s="22"/>
      <c r="M71" s="22"/>
      <c r="N71" s="20"/>
      <c r="O71" s="17"/>
      <c r="P71" s="17">
        <f>27199+300</f>
        <v>27499</v>
      </c>
      <c r="Q71" s="17"/>
      <c r="R71" s="17"/>
      <c r="S71" s="17">
        <v>25000</v>
      </c>
      <c r="T71" s="166"/>
      <c r="V71" s="556"/>
    </row>
    <row r="72" spans="1:22" ht="15" customHeight="1" outlineLevel="2" x14ac:dyDescent="0.25">
      <c r="A72" s="237">
        <v>3319</v>
      </c>
      <c r="B72" s="237">
        <v>2111</v>
      </c>
      <c r="C72" s="237">
        <v>2045</v>
      </c>
      <c r="D72" s="237">
        <v>66000</v>
      </c>
      <c r="E72" s="237">
        <v>0</v>
      </c>
      <c r="F72" s="237">
        <v>0</v>
      </c>
      <c r="G72" s="237">
        <v>0</v>
      </c>
      <c r="H72" s="237">
        <v>0</v>
      </c>
      <c r="I72" s="237">
        <v>0</v>
      </c>
      <c r="J72" s="14" t="s">
        <v>4533</v>
      </c>
      <c r="K72" s="238" t="s">
        <v>405</v>
      </c>
      <c r="L72" s="22"/>
      <c r="M72" s="22"/>
      <c r="N72" s="20"/>
      <c r="O72" s="17"/>
      <c r="P72" s="17">
        <f>111020+3700</f>
        <v>114720</v>
      </c>
      <c r="Q72" s="17"/>
      <c r="R72" s="17"/>
      <c r="S72" s="17">
        <v>50000</v>
      </c>
      <c r="T72" s="166"/>
    </row>
    <row r="73" spans="1:22" s="39" customFormat="1" ht="15" customHeight="1" outlineLevel="2" x14ac:dyDescent="0.25">
      <c r="A73" s="14">
        <v>3322</v>
      </c>
      <c r="B73" s="14">
        <v>2112</v>
      </c>
      <c r="C73" s="205">
        <v>2045</v>
      </c>
      <c r="D73" s="14">
        <v>11634</v>
      </c>
      <c r="E73" s="14">
        <v>0</v>
      </c>
      <c r="F73" s="14">
        <v>0</v>
      </c>
      <c r="G73" s="14">
        <v>0</v>
      </c>
      <c r="H73" s="14">
        <v>0</v>
      </c>
      <c r="I73" s="13">
        <v>0</v>
      </c>
      <c r="J73" s="14" t="str">
        <f>CONCATENATE(A73,"/",B73,"/",C73,"/",D73,"/",E73,"/",F73,"/",G73,"/",H73,"/",I73)</f>
        <v>3322/2112/2045/11634/0/0/0/0/0</v>
      </c>
      <c r="K73" s="21" t="s">
        <v>4421</v>
      </c>
      <c r="L73" s="22"/>
      <c r="M73" s="22"/>
      <c r="N73" s="20"/>
      <c r="O73" s="17">
        <v>0</v>
      </c>
      <c r="P73" s="17">
        <v>3985</v>
      </c>
      <c r="Q73" s="17">
        <v>1000</v>
      </c>
      <c r="R73" s="17">
        <v>1000</v>
      </c>
      <c r="S73" s="17">
        <v>5000</v>
      </c>
      <c r="T73" s="166"/>
      <c r="V73" s="43"/>
    </row>
    <row r="74" spans="1:22" s="59" customFormat="1" ht="15" customHeight="1" outlineLevel="2" x14ac:dyDescent="0.25">
      <c r="A74" s="237">
        <v>3349</v>
      </c>
      <c r="B74" s="237">
        <v>2111</v>
      </c>
      <c r="C74" s="237">
        <v>2045</v>
      </c>
      <c r="D74" s="237">
        <v>0</v>
      </c>
      <c r="E74" s="237">
        <v>0</v>
      </c>
      <c r="F74" s="237">
        <v>0</v>
      </c>
      <c r="G74" s="237">
        <v>0</v>
      </c>
      <c r="H74" s="237">
        <v>0</v>
      </c>
      <c r="I74" s="237">
        <v>0</v>
      </c>
      <c r="J74" s="14" t="s">
        <v>4535</v>
      </c>
      <c r="K74" s="238" t="s">
        <v>4509</v>
      </c>
      <c r="L74" s="22"/>
      <c r="M74" s="22"/>
      <c r="N74" s="20"/>
      <c r="O74" s="17"/>
      <c r="P74" s="17">
        <f>4083.75-3562.5</f>
        <v>521.25</v>
      </c>
      <c r="Q74" s="17"/>
      <c r="R74" s="17"/>
      <c r="S74" s="17"/>
      <c r="T74" s="166"/>
      <c r="V74" s="557"/>
    </row>
    <row r="75" spans="1:22" s="59" customFormat="1" ht="15" customHeight="1" outlineLevel="1" x14ac:dyDescent="0.25">
      <c r="A75" s="420"/>
      <c r="B75" s="420"/>
      <c r="C75" s="421" t="s">
        <v>4660</v>
      </c>
      <c r="D75" s="420"/>
      <c r="E75" s="420"/>
      <c r="F75" s="420"/>
      <c r="G75" s="420"/>
      <c r="H75" s="420"/>
      <c r="I75" s="420"/>
      <c r="J75" s="14"/>
      <c r="K75" s="422"/>
      <c r="L75" s="412">
        <f t="shared" ref="L75:S75" si="9">SUBTOTAL(9,L65:L74)</f>
        <v>1468893.46</v>
      </c>
      <c r="M75" s="412">
        <f t="shared" si="9"/>
        <v>1495102.96</v>
      </c>
      <c r="N75" s="413">
        <f t="shared" si="9"/>
        <v>981562.39999999991</v>
      </c>
      <c r="O75" s="414">
        <f t="shared" si="9"/>
        <v>1219909.8500000001</v>
      </c>
      <c r="P75" s="414">
        <f t="shared" si="9"/>
        <v>1896797.92</v>
      </c>
      <c r="Q75" s="414">
        <f t="shared" si="9"/>
        <v>1546000</v>
      </c>
      <c r="R75" s="414">
        <f t="shared" si="9"/>
        <v>1546000</v>
      </c>
      <c r="S75" s="414">
        <f t="shared" si="9"/>
        <v>1960000</v>
      </c>
      <c r="T75" s="423"/>
      <c r="V75" s="557"/>
    </row>
    <row r="76" spans="1:22" s="39" customFormat="1" ht="15" customHeight="1" outlineLevel="2" x14ac:dyDescent="0.25">
      <c r="A76" s="14">
        <v>0</v>
      </c>
      <c r="B76" s="14">
        <v>2111</v>
      </c>
      <c r="C76" s="205">
        <v>2047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3">
        <v>0</v>
      </c>
      <c r="J76" s="14" t="str">
        <f>CONCATENATE(A76,"/",B76,"/",C76,"/",D76,"/",E76,"/",F76,"/",G76,"/",H76,"/",I76)</f>
        <v>0/2111/2047/0/0/0/0/0/0</v>
      </c>
      <c r="K76" s="21" t="s">
        <v>3797</v>
      </c>
      <c r="L76" s="22">
        <f>662887+43032.77</f>
        <v>705919.77</v>
      </c>
      <c r="M76" s="22">
        <f>378730+387036.1</f>
        <v>765766.1</v>
      </c>
      <c r="N76" s="20">
        <f>105785.12+11207</f>
        <v>116992.12</v>
      </c>
      <c r="O76" s="17">
        <v>516778.35</v>
      </c>
      <c r="P76" s="17">
        <v>661575</v>
      </c>
      <c r="Q76" s="17"/>
      <c r="R76" s="17"/>
      <c r="S76" s="17"/>
      <c r="T76" s="166"/>
      <c r="V76" s="43"/>
    </row>
    <row r="77" spans="1:22" s="39" customFormat="1" ht="15" customHeight="1" outlineLevel="2" x14ac:dyDescent="0.25">
      <c r="A77" s="14">
        <v>0</v>
      </c>
      <c r="B77" s="14">
        <v>2451</v>
      </c>
      <c r="C77" s="205">
        <v>2047</v>
      </c>
      <c r="D77" s="14">
        <v>52759</v>
      </c>
      <c r="E77" s="14">
        <v>0</v>
      </c>
      <c r="F77" s="14">
        <v>0</v>
      </c>
      <c r="G77" s="14">
        <v>0</v>
      </c>
      <c r="H77" s="14">
        <v>0</v>
      </c>
      <c r="I77" s="13">
        <v>0</v>
      </c>
      <c r="J77" s="14" t="str">
        <f>CONCATENATE(A77,"/",B77,"/",C77,"/",D77,"/",E77,"/",F77,"/",G77,"/",H77,"/",I77)</f>
        <v>0/2451/2047/52759/0/0/0/0/0</v>
      </c>
      <c r="K77" s="19" t="s">
        <v>118</v>
      </c>
      <c r="L77" s="22"/>
      <c r="M77" s="22">
        <v>2000000</v>
      </c>
      <c r="N77" s="20"/>
      <c r="O77" s="17">
        <v>4000000</v>
      </c>
      <c r="P77" s="17">
        <v>2000000</v>
      </c>
      <c r="Q77" s="17"/>
      <c r="R77" s="17"/>
      <c r="S77" s="17"/>
      <c r="T77" s="57"/>
      <c r="V77" s="43"/>
    </row>
    <row r="78" spans="1:22" s="39" customFormat="1" ht="15" customHeight="1" outlineLevel="2" x14ac:dyDescent="0.25">
      <c r="A78" s="399">
        <v>3111</v>
      </c>
      <c r="B78" s="399">
        <v>2122</v>
      </c>
      <c r="C78" s="399">
        <v>2047</v>
      </c>
      <c r="D78" s="399">
        <v>52702</v>
      </c>
      <c r="E78" s="14"/>
      <c r="F78" s="14"/>
      <c r="G78" s="14"/>
      <c r="H78" s="14"/>
      <c r="I78" s="13"/>
      <c r="J78" s="14"/>
      <c r="K78" s="21" t="s">
        <v>4629</v>
      </c>
      <c r="L78" s="22"/>
      <c r="M78" s="22"/>
      <c r="N78" s="20"/>
      <c r="O78" s="17"/>
      <c r="P78" s="17"/>
      <c r="Q78" s="17"/>
      <c r="R78" s="17">
        <v>132691.54</v>
      </c>
      <c r="S78" s="17"/>
      <c r="T78" s="57"/>
      <c r="V78" s="43"/>
    </row>
    <row r="79" spans="1:22" s="39" customFormat="1" ht="15" customHeight="1" outlineLevel="1" x14ac:dyDescent="0.25">
      <c r="A79" s="424"/>
      <c r="B79" s="424"/>
      <c r="C79" s="425" t="s">
        <v>4661</v>
      </c>
      <c r="D79" s="424"/>
      <c r="E79" s="409"/>
      <c r="F79" s="409"/>
      <c r="G79" s="409"/>
      <c r="H79" s="409"/>
      <c r="I79" s="409"/>
      <c r="J79" s="14"/>
      <c r="K79" s="411"/>
      <c r="L79" s="412">
        <f t="shared" ref="L79:S79" si="10">SUBTOTAL(9,L76:L78)</f>
        <v>705919.77</v>
      </c>
      <c r="M79" s="412">
        <f t="shared" si="10"/>
        <v>2765766.1</v>
      </c>
      <c r="N79" s="413">
        <f t="shared" si="10"/>
        <v>116992.12</v>
      </c>
      <c r="O79" s="414">
        <f t="shared" si="10"/>
        <v>4516778.3499999996</v>
      </c>
      <c r="P79" s="414">
        <f t="shared" si="10"/>
        <v>2661575</v>
      </c>
      <c r="Q79" s="414">
        <f t="shared" si="10"/>
        <v>0</v>
      </c>
      <c r="R79" s="414">
        <f t="shared" si="10"/>
        <v>132691.54</v>
      </c>
      <c r="S79" s="414">
        <f t="shared" si="10"/>
        <v>0</v>
      </c>
      <c r="T79" s="415"/>
      <c r="V79" s="43"/>
    </row>
    <row r="80" spans="1:22" s="39" customFormat="1" ht="15" customHeight="1" outlineLevel="2" x14ac:dyDescent="0.25">
      <c r="A80" s="237">
        <v>2143</v>
      </c>
      <c r="B80" s="237">
        <v>2310</v>
      </c>
      <c r="C80" s="237">
        <v>2049</v>
      </c>
      <c r="D80" s="237">
        <v>0</v>
      </c>
      <c r="E80" s="237">
        <v>0</v>
      </c>
      <c r="F80" s="237">
        <v>0</v>
      </c>
      <c r="G80" s="237">
        <v>0</v>
      </c>
      <c r="H80" s="237">
        <v>0</v>
      </c>
      <c r="I80" s="237">
        <v>0</v>
      </c>
      <c r="J80" s="14" t="s">
        <v>4576</v>
      </c>
      <c r="K80" s="238" t="s">
        <v>4512</v>
      </c>
      <c r="L80" s="22"/>
      <c r="M80" s="22"/>
      <c r="N80" s="20"/>
      <c r="O80" s="17"/>
      <c r="P80" s="17">
        <v>900</v>
      </c>
      <c r="Q80" s="17"/>
      <c r="R80" s="17"/>
      <c r="S80" s="17">
        <v>15000</v>
      </c>
      <c r="T80" s="57"/>
      <c r="V80" s="43"/>
    </row>
    <row r="81" spans="1:22" s="39" customFormat="1" ht="15" customHeight="1" outlineLevel="1" x14ac:dyDescent="0.25">
      <c r="A81" s="420"/>
      <c r="B81" s="420"/>
      <c r="C81" s="421" t="s">
        <v>4662</v>
      </c>
      <c r="D81" s="420"/>
      <c r="E81" s="420"/>
      <c r="F81" s="420"/>
      <c r="G81" s="420"/>
      <c r="H81" s="420"/>
      <c r="I81" s="420"/>
      <c r="J81" s="14"/>
      <c r="K81" s="422"/>
      <c r="L81" s="412">
        <f t="shared" ref="L81:S81" si="11">SUBTOTAL(9,L80:L80)</f>
        <v>0</v>
      </c>
      <c r="M81" s="412">
        <f t="shared" si="11"/>
        <v>0</v>
      </c>
      <c r="N81" s="413">
        <f t="shared" si="11"/>
        <v>0</v>
      </c>
      <c r="O81" s="414">
        <f t="shared" si="11"/>
        <v>0</v>
      </c>
      <c r="P81" s="414">
        <f t="shared" si="11"/>
        <v>900</v>
      </c>
      <c r="Q81" s="414">
        <f t="shared" si="11"/>
        <v>0</v>
      </c>
      <c r="R81" s="414">
        <f t="shared" si="11"/>
        <v>0</v>
      </c>
      <c r="S81" s="414">
        <f t="shared" si="11"/>
        <v>15000</v>
      </c>
      <c r="T81" s="415"/>
      <c r="V81" s="43"/>
    </row>
    <row r="82" spans="1:22" s="39" customFormat="1" ht="15" customHeight="1" outlineLevel="2" x14ac:dyDescent="0.25">
      <c r="A82" s="14">
        <v>2143</v>
      </c>
      <c r="B82" s="14">
        <v>2324</v>
      </c>
      <c r="C82" s="205">
        <v>2050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3">
        <v>0</v>
      </c>
      <c r="J82" s="14" t="str">
        <f>CONCATENATE(A82,"/",B82,"/",C82,"/",D82,"/",E82,"/",F82,"/",G82,"/",H82,"/",I82)</f>
        <v>2143/2324/2050/0/0/0/0/0/0</v>
      </c>
      <c r="K82" s="21" t="s">
        <v>41</v>
      </c>
      <c r="L82" s="22">
        <v>0</v>
      </c>
      <c r="M82" s="22">
        <v>8788</v>
      </c>
      <c r="N82" s="20"/>
      <c r="O82" s="17">
        <v>250932.77</v>
      </c>
      <c r="P82" s="17"/>
      <c r="Q82" s="17"/>
      <c r="R82" s="17"/>
      <c r="S82" s="17"/>
      <c r="T82" s="57"/>
      <c r="V82" s="43"/>
    </row>
    <row r="83" spans="1:22" s="39" customFormat="1" ht="15" customHeight="1" outlineLevel="2" x14ac:dyDescent="0.25">
      <c r="A83" s="14">
        <v>3412</v>
      </c>
      <c r="B83" s="14">
        <v>2322</v>
      </c>
      <c r="C83" s="205">
        <v>2050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3">
        <v>0</v>
      </c>
      <c r="J83" s="14" t="str">
        <f>CONCATENATE(A83,"/",B83,"/",C83,"/",D83,"/",E83,"/",F83,"/",G83,"/",H83,"/",I83)</f>
        <v>3412/2322/2050/0/0/0/0/0/0</v>
      </c>
      <c r="K83" s="21" t="s">
        <v>862</v>
      </c>
      <c r="L83" s="22"/>
      <c r="M83" s="22"/>
      <c r="N83" s="20">
        <f>15599+7430</f>
        <v>23029</v>
      </c>
      <c r="O83" s="17">
        <f>60334+16800</f>
        <v>77134</v>
      </c>
      <c r="P83" s="17"/>
      <c r="Q83" s="17"/>
      <c r="R83" s="17"/>
      <c r="S83" s="17"/>
      <c r="T83" s="57"/>
      <c r="V83" s="43"/>
    </row>
    <row r="84" spans="1:22" s="39" customFormat="1" ht="15" customHeight="1" outlineLevel="2" x14ac:dyDescent="0.25">
      <c r="A84" s="14">
        <v>5213</v>
      </c>
      <c r="B84" s="14">
        <v>2324</v>
      </c>
      <c r="C84" s="205">
        <v>2050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3">
        <v>0</v>
      </c>
      <c r="J84" s="14" t="str">
        <f>CONCATENATE(A84,"/",B84,"/",C84,"/",D84,"/",E84,"/",F84,"/",G84,"/",H84,"/",I84)</f>
        <v>5213/2324/2050/0/0/0/0/0/0</v>
      </c>
      <c r="K84" s="19" t="s">
        <v>4455</v>
      </c>
      <c r="L84" s="22"/>
      <c r="M84" s="22"/>
      <c r="N84" s="20">
        <v>293300</v>
      </c>
      <c r="O84" s="17">
        <v>11500</v>
      </c>
      <c r="P84" s="17">
        <v>70486.5</v>
      </c>
      <c r="Q84" s="17"/>
      <c r="R84" s="17"/>
      <c r="S84" s="17"/>
      <c r="T84" s="57"/>
      <c r="V84" s="43"/>
    </row>
    <row r="85" spans="1:22" s="39" customFormat="1" ht="15" customHeight="1" outlineLevel="2" x14ac:dyDescent="0.25">
      <c r="A85" s="14">
        <v>6402</v>
      </c>
      <c r="B85" s="14">
        <v>2222</v>
      </c>
      <c r="C85" s="205">
        <v>2050</v>
      </c>
      <c r="D85" s="14">
        <v>0</v>
      </c>
      <c r="E85" s="14">
        <v>0</v>
      </c>
      <c r="F85" s="14">
        <v>98018</v>
      </c>
      <c r="G85" s="14">
        <v>0</v>
      </c>
      <c r="H85" s="14">
        <v>0</v>
      </c>
      <c r="I85" s="13">
        <v>0</v>
      </c>
      <c r="J85" s="14" t="str">
        <f>CONCATENATE(A85,"/",B85,"/",C85,"/",D85,"/",E85,"/",F85,"/",G85,"/",H85,"/",I85)</f>
        <v>6402/2222/2050/0/0/98018/0/0/0</v>
      </c>
      <c r="K85" s="21" t="s">
        <v>3781</v>
      </c>
      <c r="L85" s="22"/>
      <c r="M85" s="22"/>
      <c r="N85" s="20">
        <v>33320</v>
      </c>
      <c r="O85" s="17">
        <v>109900.46</v>
      </c>
      <c r="P85" s="17"/>
      <c r="Q85" s="17"/>
      <c r="R85" s="17"/>
      <c r="S85" s="17"/>
      <c r="T85" s="57"/>
      <c r="V85" s="43"/>
    </row>
    <row r="86" spans="1:22" s="39" customFormat="1" ht="15" customHeight="1" outlineLevel="1" x14ac:dyDescent="0.25">
      <c r="A86" s="409"/>
      <c r="B86" s="409"/>
      <c r="C86" s="418" t="s">
        <v>4663</v>
      </c>
      <c r="D86" s="409"/>
      <c r="E86" s="409"/>
      <c r="F86" s="409"/>
      <c r="G86" s="409"/>
      <c r="H86" s="409"/>
      <c r="I86" s="409"/>
      <c r="J86" s="14"/>
      <c r="K86" s="411"/>
      <c r="L86" s="412">
        <f t="shared" ref="L86:S86" si="12">SUBTOTAL(9,L82:L85)</f>
        <v>0</v>
      </c>
      <c r="M86" s="412">
        <f t="shared" si="12"/>
        <v>8788</v>
      </c>
      <c r="N86" s="413">
        <f t="shared" si="12"/>
        <v>349649</v>
      </c>
      <c r="O86" s="414">
        <f t="shared" si="12"/>
        <v>449467.23000000004</v>
      </c>
      <c r="P86" s="414">
        <f t="shared" si="12"/>
        <v>70486.5</v>
      </c>
      <c r="Q86" s="414">
        <f t="shared" si="12"/>
        <v>0</v>
      </c>
      <c r="R86" s="414">
        <f t="shared" si="12"/>
        <v>0</v>
      </c>
      <c r="S86" s="414">
        <f t="shared" si="12"/>
        <v>0</v>
      </c>
      <c r="T86" s="415"/>
      <c r="V86" s="43"/>
    </row>
    <row r="87" spans="1:22" s="39" customFormat="1" ht="15" customHeight="1" outlineLevel="2" x14ac:dyDescent="0.25">
      <c r="A87" s="14">
        <v>6171</v>
      </c>
      <c r="B87" s="14">
        <v>2321</v>
      </c>
      <c r="C87" s="18">
        <v>2055</v>
      </c>
      <c r="D87" s="14">
        <v>0</v>
      </c>
      <c r="E87" s="14">
        <v>0</v>
      </c>
      <c r="F87" s="14">
        <v>0</v>
      </c>
      <c r="G87" s="14">
        <v>0</v>
      </c>
      <c r="H87" s="14">
        <v>2</v>
      </c>
      <c r="I87" s="13">
        <v>0</v>
      </c>
      <c r="J87" s="14" t="str">
        <f>CONCATENATE(A87,"/",B87,"/",C87,"/",D87,"/",E87,"/",F87,"/",G87,"/",H87,"/",I87)</f>
        <v>6171/2321/2055/0/0/0/0/2/0</v>
      </c>
      <c r="K87" s="21" t="s">
        <v>861</v>
      </c>
      <c r="L87" s="22"/>
      <c r="M87" s="22"/>
      <c r="N87" s="20"/>
      <c r="O87" s="17">
        <v>28574</v>
      </c>
      <c r="P87" s="17"/>
      <c r="Q87" s="17"/>
      <c r="R87" s="17"/>
      <c r="S87" s="17"/>
      <c r="T87" s="57"/>
      <c r="V87" s="43"/>
    </row>
    <row r="88" spans="1:22" s="39" customFormat="1" ht="15" customHeight="1" outlineLevel="1" x14ac:dyDescent="0.25">
      <c r="A88" s="409"/>
      <c r="B88" s="409"/>
      <c r="C88" s="418" t="s">
        <v>4664</v>
      </c>
      <c r="D88" s="409"/>
      <c r="E88" s="409"/>
      <c r="F88" s="409"/>
      <c r="G88" s="409"/>
      <c r="H88" s="409"/>
      <c r="I88" s="409"/>
      <c r="J88" s="14"/>
      <c r="K88" s="411"/>
      <c r="L88" s="412">
        <f t="shared" ref="L88:S88" si="13">SUBTOTAL(9,L87:L87)</f>
        <v>0</v>
      </c>
      <c r="M88" s="412">
        <f t="shared" si="13"/>
        <v>0</v>
      </c>
      <c r="N88" s="413">
        <f t="shared" si="13"/>
        <v>0</v>
      </c>
      <c r="O88" s="414">
        <f t="shared" si="13"/>
        <v>28574</v>
      </c>
      <c r="P88" s="414">
        <f t="shared" si="13"/>
        <v>0</v>
      </c>
      <c r="Q88" s="414">
        <f t="shared" si="13"/>
        <v>0</v>
      </c>
      <c r="R88" s="414">
        <f t="shared" si="13"/>
        <v>0</v>
      </c>
      <c r="S88" s="414">
        <f t="shared" si="13"/>
        <v>0</v>
      </c>
      <c r="T88" s="415"/>
      <c r="V88" s="43"/>
    </row>
    <row r="89" spans="1:22" s="39" customFormat="1" ht="15" customHeight="1" outlineLevel="2" x14ac:dyDescent="0.25">
      <c r="A89" s="14">
        <v>0</v>
      </c>
      <c r="B89" s="14">
        <v>1361</v>
      </c>
      <c r="C89" s="205">
        <v>2059</v>
      </c>
      <c r="D89" s="14">
        <v>31037</v>
      </c>
      <c r="E89" s="14">
        <v>0</v>
      </c>
      <c r="F89" s="14">
        <v>0</v>
      </c>
      <c r="G89" s="14">
        <v>0</v>
      </c>
      <c r="H89" s="14">
        <v>0</v>
      </c>
      <c r="I89" s="13">
        <v>0</v>
      </c>
      <c r="J89" s="14" t="str">
        <f t="shared" ref="J89:J94" si="14">CONCATENATE(A89,"/",B89,"/",C89,"/",D89,"/",E89,"/",F89,"/",G89,"/",H89,"/",I89)</f>
        <v>0/1361/2059/31037/0/0/0/0/0</v>
      </c>
      <c r="K89" s="21" t="s">
        <v>2879</v>
      </c>
      <c r="L89" s="22"/>
      <c r="M89" s="22"/>
      <c r="N89" s="20">
        <v>20</v>
      </c>
      <c r="O89" s="17">
        <v>80</v>
      </c>
      <c r="P89" s="17"/>
      <c r="Q89" s="17">
        <v>100</v>
      </c>
      <c r="R89" s="17">
        <v>100</v>
      </c>
      <c r="S89" s="17">
        <v>100</v>
      </c>
      <c r="T89" s="57"/>
      <c r="V89" s="43"/>
    </row>
    <row r="90" spans="1:22" s="39" customFormat="1" ht="15" customHeight="1" outlineLevel="2" x14ac:dyDescent="0.25">
      <c r="A90" s="14">
        <v>3632</v>
      </c>
      <c r="B90" s="14">
        <v>2324</v>
      </c>
      <c r="C90" s="205">
        <v>2059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3">
        <v>0</v>
      </c>
      <c r="J90" s="14" t="str">
        <f t="shared" si="14"/>
        <v>3632/2324/2059/0/0/0/0/0/0</v>
      </c>
      <c r="K90" s="21" t="s">
        <v>48</v>
      </c>
      <c r="L90" s="22">
        <v>54075</v>
      </c>
      <c r="M90" s="22">
        <v>16935</v>
      </c>
      <c r="N90" s="20">
        <v>152356</v>
      </c>
      <c r="O90" s="17">
        <v>45471</v>
      </c>
      <c r="P90" s="17">
        <v>56623.18</v>
      </c>
      <c r="Q90" s="17">
        <v>35000</v>
      </c>
      <c r="R90" s="17">
        <v>35000</v>
      </c>
      <c r="S90" s="17">
        <v>50000</v>
      </c>
      <c r="T90" s="57"/>
      <c r="V90" s="43"/>
    </row>
    <row r="91" spans="1:22" s="39" customFormat="1" ht="15" customHeight="1" outlineLevel="2" x14ac:dyDescent="0.25">
      <c r="A91" s="14">
        <v>3632</v>
      </c>
      <c r="B91" s="14">
        <v>2329</v>
      </c>
      <c r="C91" s="18">
        <v>2059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3">
        <v>0</v>
      </c>
      <c r="J91" s="14" t="str">
        <f t="shared" si="14"/>
        <v>3632/2329/2059/0/0/0/0/0/0</v>
      </c>
      <c r="K91" s="21" t="s">
        <v>4010</v>
      </c>
      <c r="L91" s="22"/>
      <c r="M91" s="22"/>
      <c r="N91" s="20">
        <v>23320.33</v>
      </c>
      <c r="O91" s="17">
        <v>58348.3</v>
      </c>
      <c r="P91" s="17">
        <v>288</v>
      </c>
      <c r="Q91" s="17"/>
      <c r="R91" s="17"/>
      <c r="S91" s="17"/>
      <c r="T91" s="57"/>
      <c r="V91" s="43"/>
    </row>
    <row r="92" spans="1:22" s="39" customFormat="1" ht="15" customHeight="1" outlineLevel="2" x14ac:dyDescent="0.25">
      <c r="A92" s="14">
        <v>6171</v>
      </c>
      <c r="B92" s="14">
        <v>2329</v>
      </c>
      <c r="C92" s="205">
        <v>2059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3">
        <v>0</v>
      </c>
      <c r="J92" s="14" t="str">
        <f t="shared" si="14"/>
        <v>6171/2329/2059/0/0/0/0/0/0</v>
      </c>
      <c r="K92" s="19" t="s">
        <v>3782</v>
      </c>
      <c r="L92" s="20">
        <v>310266.75</v>
      </c>
      <c r="M92" s="20">
        <v>308128.48</v>
      </c>
      <c r="N92" s="20">
        <v>1880</v>
      </c>
      <c r="O92" s="17">
        <v>4116</v>
      </c>
      <c r="P92" s="17">
        <v>319389.38</v>
      </c>
      <c r="Q92" s="20"/>
      <c r="R92" s="20"/>
      <c r="S92" s="20"/>
      <c r="T92" s="57"/>
      <c r="V92" s="43"/>
    </row>
    <row r="93" spans="1:22" s="39" customFormat="1" ht="15" customHeight="1" outlineLevel="2" x14ac:dyDescent="0.25">
      <c r="A93" s="14">
        <v>6171</v>
      </c>
      <c r="B93" s="14">
        <v>3113</v>
      </c>
      <c r="C93" s="18">
        <v>2059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3">
        <v>0</v>
      </c>
      <c r="J93" s="14" t="str">
        <f t="shared" si="14"/>
        <v>6171/3113/2059/0/0/0/0/0/0</v>
      </c>
      <c r="K93" s="21" t="s">
        <v>4042</v>
      </c>
      <c r="L93" s="22"/>
      <c r="M93" s="22"/>
      <c r="N93" s="20"/>
      <c r="O93" s="17">
        <v>48000</v>
      </c>
      <c r="P93" s="17"/>
      <c r="Q93" s="17"/>
      <c r="R93" s="17"/>
      <c r="S93" s="17"/>
      <c r="T93" s="57"/>
      <c r="V93" s="43"/>
    </row>
    <row r="94" spans="1:22" s="39" customFormat="1" ht="15" customHeight="1" outlineLevel="2" x14ac:dyDescent="0.25">
      <c r="A94" s="14">
        <v>6402</v>
      </c>
      <c r="B94" s="14">
        <v>2222</v>
      </c>
      <c r="C94" s="205">
        <v>2059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3">
        <v>0</v>
      </c>
      <c r="J94" s="14" t="str">
        <f t="shared" si="14"/>
        <v>6402/2222/2059/0/0/0/0/0/0</v>
      </c>
      <c r="K94" s="21" t="s">
        <v>3781</v>
      </c>
      <c r="L94" s="22"/>
      <c r="M94" s="22"/>
      <c r="N94" s="20">
        <v>24552.06</v>
      </c>
      <c r="O94" s="17">
        <v>0</v>
      </c>
      <c r="P94" s="17"/>
      <c r="Q94" s="17"/>
      <c r="R94" s="17"/>
      <c r="S94" s="17"/>
      <c r="T94" s="57"/>
      <c r="V94" s="43"/>
    </row>
    <row r="95" spans="1:22" s="39" customFormat="1" ht="15" customHeight="1" outlineLevel="1" x14ac:dyDescent="0.25">
      <c r="A95" s="409"/>
      <c r="B95" s="409"/>
      <c r="C95" s="418" t="s">
        <v>4665</v>
      </c>
      <c r="D95" s="409"/>
      <c r="E95" s="409"/>
      <c r="F95" s="409"/>
      <c r="G95" s="409"/>
      <c r="H95" s="409"/>
      <c r="I95" s="409"/>
      <c r="J95" s="14"/>
      <c r="K95" s="411"/>
      <c r="L95" s="412">
        <f t="shared" ref="L95:S95" si="15">SUBTOTAL(9,L89:L94)</f>
        <v>364341.75</v>
      </c>
      <c r="M95" s="412">
        <f t="shared" si="15"/>
        <v>325063.48</v>
      </c>
      <c r="N95" s="413">
        <f t="shared" si="15"/>
        <v>202128.39</v>
      </c>
      <c r="O95" s="414">
        <f t="shared" si="15"/>
        <v>156015.29999999999</v>
      </c>
      <c r="P95" s="414">
        <f t="shared" si="15"/>
        <v>376300.56</v>
      </c>
      <c r="Q95" s="414">
        <f t="shared" si="15"/>
        <v>35100</v>
      </c>
      <c r="R95" s="414">
        <f t="shared" si="15"/>
        <v>35100</v>
      </c>
      <c r="S95" s="414">
        <f t="shared" si="15"/>
        <v>50100</v>
      </c>
      <c r="T95" s="415"/>
      <c r="V95" s="43"/>
    </row>
    <row r="96" spans="1:22" s="39" customFormat="1" ht="15" customHeight="1" outlineLevel="2" x14ac:dyDescent="0.25">
      <c r="A96" s="14">
        <v>0</v>
      </c>
      <c r="B96" s="14">
        <v>1361</v>
      </c>
      <c r="C96" s="205">
        <v>2070</v>
      </c>
      <c r="D96" s="14">
        <v>31054</v>
      </c>
      <c r="E96" s="14">
        <v>0</v>
      </c>
      <c r="F96" s="14">
        <v>0</v>
      </c>
      <c r="G96" s="14">
        <v>0</v>
      </c>
      <c r="H96" s="14">
        <v>0</v>
      </c>
      <c r="I96" s="13">
        <v>0</v>
      </c>
      <c r="J96" s="14" t="str">
        <f>CONCATENATE(A96,"/",B96,"/",C96,"/",D96,"/",E96,"/",F96,"/",G96,"/",H96,"/",I96)</f>
        <v>0/1361/2070/31054/0/0/0/0/0</v>
      </c>
      <c r="K96" s="21" t="s">
        <v>53</v>
      </c>
      <c r="L96" s="22">
        <v>21260</v>
      </c>
      <c r="M96" s="22">
        <v>10030</v>
      </c>
      <c r="N96" s="20">
        <v>9215</v>
      </c>
      <c r="O96" s="17">
        <v>16030</v>
      </c>
      <c r="P96" s="17">
        <v>14020</v>
      </c>
      <c r="Q96" s="16">
        <v>10000</v>
      </c>
      <c r="R96" s="16">
        <v>10000</v>
      </c>
      <c r="S96" s="16">
        <v>10000</v>
      </c>
      <c r="T96" s="57"/>
      <c r="V96" s="43"/>
    </row>
    <row r="97" spans="1:22" s="39" customFormat="1" ht="15" customHeight="1" outlineLevel="2" x14ac:dyDescent="0.25">
      <c r="A97" s="14">
        <v>0</v>
      </c>
      <c r="B97" s="14">
        <v>1361</v>
      </c>
      <c r="C97" s="205">
        <v>2070</v>
      </c>
      <c r="D97" s="14">
        <v>31601</v>
      </c>
      <c r="E97" s="14">
        <v>0</v>
      </c>
      <c r="F97" s="14">
        <v>0</v>
      </c>
      <c r="G97" s="14">
        <v>0</v>
      </c>
      <c r="H97" s="14">
        <v>0</v>
      </c>
      <c r="I97" s="13">
        <v>0</v>
      </c>
      <c r="J97" s="14" t="str">
        <f>CONCATENATE(A97,"/",B97,"/",C97,"/",D97,"/",E97,"/",F97,"/",G97,"/",H97,"/",I97)</f>
        <v>0/1361/2070/31601/0/0/0/0/0</v>
      </c>
      <c r="K97" s="21" t="s">
        <v>54</v>
      </c>
      <c r="L97" s="22">
        <v>440035</v>
      </c>
      <c r="M97" s="22">
        <v>438780</v>
      </c>
      <c r="N97" s="20">
        <v>385540</v>
      </c>
      <c r="O97" s="17">
        <v>415860</v>
      </c>
      <c r="P97" s="17">
        <v>435260</v>
      </c>
      <c r="Q97" s="16">
        <v>328500</v>
      </c>
      <c r="R97" s="16">
        <v>328500</v>
      </c>
      <c r="S97" s="16">
        <v>328500</v>
      </c>
      <c r="T97" s="57"/>
      <c r="V97" s="43"/>
    </row>
    <row r="98" spans="1:22" s="39" customFormat="1" ht="15" customHeight="1" outlineLevel="2" x14ac:dyDescent="0.25">
      <c r="A98" s="14">
        <v>0</v>
      </c>
      <c r="B98" s="14">
        <v>2212</v>
      </c>
      <c r="C98" s="205">
        <v>2070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3">
        <v>0</v>
      </c>
      <c r="J98" s="14" t="str">
        <f>CONCATENATE(A98,"/",B98,"/",C98,"/",D98,"/",E98,"/",F98,"/",G98,"/",H98,"/",I98)</f>
        <v>0/2212/2070/0/0/0/0/0/0</v>
      </c>
      <c r="K98" s="21" t="s">
        <v>52</v>
      </c>
      <c r="L98" s="20">
        <f>82600+4989.02</f>
        <v>87589.02</v>
      </c>
      <c r="M98" s="20">
        <f>83690.78+1554.65</f>
        <v>85245.43</v>
      </c>
      <c r="N98" s="20">
        <f>42273.8+11000.25</f>
        <v>53274.05</v>
      </c>
      <c r="O98" s="17">
        <v>37407.300000000003</v>
      </c>
      <c r="P98" s="17">
        <v>63252.39</v>
      </c>
      <c r="Q98" s="20"/>
      <c r="R98" s="20">
        <v>8194.4500000000007</v>
      </c>
      <c r="S98" s="20">
        <v>0</v>
      </c>
      <c r="T98" s="57"/>
      <c r="V98" s="43"/>
    </row>
    <row r="99" spans="1:22" s="39" customFormat="1" ht="15" customHeight="1" outlineLevel="1" x14ac:dyDescent="0.25">
      <c r="A99" s="409"/>
      <c r="B99" s="409"/>
      <c r="C99" s="418" t="s">
        <v>4666</v>
      </c>
      <c r="D99" s="409"/>
      <c r="E99" s="409"/>
      <c r="F99" s="409"/>
      <c r="G99" s="409"/>
      <c r="H99" s="409"/>
      <c r="I99" s="409"/>
      <c r="J99" s="14"/>
      <c r="K99" s="411"/>
      <c r="L99" s="413">
        <f t="shared" ref="L99:S99" si="16">SUBTOTAL(9,L96:L98)</f>
        <v>548884.02</v>
      </c>
      <c r="M99" s="413">
        <f t="shared" si="16"/>
        <v>534055.42999999993</v>
      </c>
      <c r="N99" s="413">
        <f t="shared" si="16"/>
        <v>448029.05</v>
      </c>
      <c r="O99" s="414">
        <f t="shared" si="16"/>
        <v>469297.3</v>
      </c>
      <c r="P99" s="414">
        <f t="shared" si="16"/>
        <v>512532.39</v>
      </c>
      <c r="Q99" s="413">
        <f t="shared" si="16"/>
        <v>338500</v>
      </c>
      <c r="R99" s="413">
        <f t="shared" si="16"/>
        <v>346694.45</v>
      </c>
      <c r="S99" s="413">
        <f t="shared" si="16"/>
        <v>338500</v>
      </c>
      <c r="T99" s="415"/>
      <c r="V99" s="43"/>
    </row>
    <row r="100" spans="1:22" s="39" customFormat="1" ht="15" customHeight="1" outlineLevel="2" x14ac:dyDescent="0.25">
      <c r="A100" s="14">
        <v>3412</v>
      </c>
      <c r="B100" s="14">
        <v>2111</v>
      </c>
      <c r="C100" s="18">
        <v>2086</v>
      </c>
      <c r="D100" s="14">
        <v>16421</v>
      </c>
      <c r="E100" s="14">
        <v>0</v>
      </c>
      <c r="F100" s="14">
        <v>0</v>
      </c>
      <c r="G100" s="14">
        <v>0</v>
      </c>
      <c r="H100" s="14">
        <v>0</v>
      </c>
      <c r="I100" s="13">
        <v>0</v>
      </c>
      <c r="J100" s="14" t="str">
        <f t="shared" ref="J100:J106" si="17">CONCATENATE(A100,"/",B100,"/",C100,"/",D100,"/",E100,"/",F100,"/",G100,"/",H100,"/",I100)</f>
        <v>3412/2111/2086/16421/0/0/0/0/0</v>
      </c>
      <c r="K100" s="19" t="s">
        <v>119</v>
      </c>
      <c r="L100" s="22">
        <f>1173667.6+2000</f>
        <v>1175667.6000000001</v>
      </c>
      <c r="M100" s="22">
        <f>2659798.01+2790</f>
        <v>2662588.0099999998</v>
      </c>
      <c r="N100" s="20">
        <f>2225746.36+80308.23</f>
        <v>2306054.59</v>
      </c>
      <c r="O100" s="17">
        <v>2835112.87</v>
      </c>
      <c r="P100" s="17">
        <v>4705004</v>
      </c>
      <c r="Q100" s="17">
        <v>4000000</v>
      </c>
      <c r="R100" s="17">
        <v>4000000</v>
      </c>
      <c r="S100" s="17">
        <v>5000000</v>
      </c>
      <c r="T100" s="166"/>
      <c r="V100" s="43"/>
    </row>
    <row r="101" spans="1:22" s="173" customFormat="1" ht="13.9" customHeight="1" outlineLevel="2" x14ac:dyDescent="0.25">
      <c r="A101" s="14">
        <v>3412</v>
      </c>
      <c r="B101" s="14">
        <v>2111</v>
      </c>
      <c r="C101" s="18">
        <v>2086</v>
      </c>
      <c r="D101" s="14">
        <v>16600</v>
      </c>
      <c r="E101" s="14">
        <v>0</v>
      </c>
      <c r="F101" s="14">
        <v>0</v>
      </c>
      <c r="G101" s="14">
        <v>0</v>
      </c>
      <c r="H101" s="14">
        <v>0</v>
      </c>
      <c r="I101" s="13">
        <v>0</v>
      </c>
      <c r="J101" s="14" t="str">
        <f t="shared" si="17"/>
        <v>3412/2111/2086/16600/0/0/0/0/0</v>
      </c>
      <c r="K101" s="21" t="s">
        <v>132</v>
      </c>
      <c r="L101" s="22">
        <v>76900</v>
      </c>
      <c r="M101" s="22">
        <v>23375</v>
      </c>
      <c r="N101" s="20">
        <v>12000</v>
      </c>
      <c r="O101" s="17">
        <v>0</v>
      </c>
      <c r="P101" s="17"/>
      <c r="Q101" s="17"/>
      <c r="R101" s="17"/>
      <c r="S101" s="17"/>
      <c r="T101" s="166"/>
      <c r="V101" s="558"/>
    </row>
    <row r="102" spans="1:22" s="39" customFormat="1" ht="15" customHeight="1" outlineLevel="2" x14ac:dyDescent="0.25">
      <c r="A102" s="14">
        <v>3412</v>
      </c>
      <c r="B102" s="14">
        <v>2111</v>
      </c>
      <c r="C102" s="18">
        <v>2086</v>
      </c>
      <c r="D102" s="14">
        <v>16807</v>
      </c>
      <c r="E102" s="14">
        <v>0</v>
      </c>
      <c r="F102" s="14">
        <v>0</v>
      </c>
      <c r="G102" s="14">
        <v>0</v>
      </c>
      <c r="H102" s="14">
        <v>0</v>
      </c>
      <c r="I102" s="13">
        <v>0</v>
      </c>
      <c r="J102" s="14" t="str">
        <f t="shared" si="17"/>
        <v>3412/2111/2086/16807/0/0/0/0/0</v>
      </c>
      <c r="K102" s="21" t="s">
        <v>147</v>
      </c>
      <c r="L102" s="22">
        <f>130100+30940</f>
        <v>161040</v>
      </c>
      <c r="M102" s="22">
        <f>1750+162425</f>
        <v>164175</v>
      </c>
      <c r="N102" s="20">
        <v>122865</v>
      </c>
      <c r="O102" s="17">
        <v>106684.75</v>
      </c>
      <c r="P102" s="17">
        <v>158245</v>
      </c>
      <c r="Q102" s="17">
        <v>180000</v>
      </c>
      <c r="R102" s="17">
        <v>180000</v>
      </c>
      <c r="S102" s="17">
        <v>240000</v>
      </c>
      <c r="T102" s="166"/>
      <c r="V102" s="43"/>
    </row>
    <row r="103" spans="1:22" s="39" customFormat="1" ht="15" customHeight="1" outlineLevel="2" x14ac:dyDescent="0.25">
      <c r="A103" s="14">
        <v>3412</v>
      </c>
      <c r="B103" s="14">
        <v>2111</v>
      </c>
      <c r="C103" s="18">
        <v>2086</v>
      </c>
      <c r="D103" s="14">
        <v>16432</v>
      </c>
      <c r="E103" s="14">
        <v>0</v>
      </c>
      <c r="F103" s="14">
        <v>0</v>
      </c>
      <c r="G103" s="14">
        <v>0</v>
      </c>
      <c r="H103" s="14">
        <v>0</v>
      </c>
      <c r="I103" s="13">
        <v>0</v>
      </c>
      <c r="J103" s="14" t="str">
        <f t="shared" si="17"/>
        <v>3412/2111/2086/16432/0/0/0/0/0</v>
      </c>
      <c r="K103" s="21" t="s">
        <v>153</v>
      </c>
      <c r="L103" s="22">
        <v>110408</v>
      </c>
      <c r="M103" s="22">
        <v>83158</v>
      </c>
      <c r="N103" s="20">
        <v>74033.59</v>
      </c>
      <c r="O103" s="17">
        <f>113065.46+4410</f>
        <v>117475.46</v>
      </c>
      <c r="P103" s="17">
        <v>70650</v>
      </c>
      <c r="Q103" s="17">
        <v>75000</v>
      </c>
      <c r="R103" s="17">
        <v>75000</v>
      </c>
      <c r="S103" s="17">
        <v>300000</v>
      </c>
      <c r="T103" s="166"/>
      <c r="V103" s="43"/>
    </row>
    <row r="104" spans="1:22" s="39" customFormat="1" outlineLevel="2" x14ac:dyDescent="0.25">
      <c r="A104" s="14">
        <v>3412</v>
      </c>
      <c r="B104" s="14">
        <v>2111</v>
      </c>
      <c r="C104" s="18">
        <v>2086</v>
      </c>
      <c r="D104" s="14">
        <v>16412</v>
      </c>
      <c r="E104" s="14">
        <v>0</v>
      </c>
      <c r="F104" s="14">
        <v>0</v>
      </c>
      <c r="G104" s="14">
        <v>0</v>
      </c>
      <c r="H104" s="14">
        <v>0</v>
      </c>
      <c r="I104" s="13">
        <v>0</v>
      </c>
      <c r="J104" s="14" t="str">
        <f t="shared" si="17"/>
        <v>3412/2111/2086/16412/0/0/0/0/0</v>
      </c>
      <c r="K104" s="21" t="s">
        <v>160</v>
      </c>
      <c r="L104" s="22">
        <v>97000</v>
      </c>
      <c r="M104" s="22">
        <f>31550+11400</f>
        <v>42950</v>
      </c>
      <c r="N104" s="20">
        <v>54000</v>
      </c>
      <c r="O104" s="17">
        <v>26000</v>
      </c>
      <c r="P104" s="17">
        <v>79000</v>
      </c>
      <c r="Q104" s="17">
        <v>50000</v>
      </c>
      <c r="R104" s="17">
        <v>50000</v>
      </c>
      <c r="S104" s="17">
        <v>50000</v>
      </c>
      <c r="T104" s="166"/>
      <c r="V104" s="43"/>
    </row>
    <row r="105" spans="1:22" s="39" customFormat="1" ht="15" customHeight="1" outlineLevel="2" x14ac:dyDescent="0.25">
      <c r="A105" s="14">
        <v>3412</v>
      </c>
      <c r="B105" s="14">
        <v>2111</v>
      </c>
      <c r="C105" s="18">
        <v>2086</v>
      </c>
      <c r="D105" s="14">
        <v>16410</v>
      </c>
      <c r="E105" s="14">
        <v>0</v>
      </c>
      <c r="F105" s="14">
        <v>0</v>
      </c>
      <c r="G105" s="14">
        <v>0</v>
      </c>
      <c r="H105" s="14">
        <v>0</v>
      </c>
      <c r="I105" s="13">
        <v>0</v>
      </c>
      <c r="J105" s="14" t="str">
        <f t="shared" si="17"/>
        <v>3412/2111/2086/16410/0/0/0/0/0</v>
      </c>
      <c r="K105" s="21" t="s">
        <v>161</v>
      </c>
      <c r="L105" s="22">
        <f>629250+7963</f>
        <v>637213</v>
      </c>
      <c r="M105" s="22">
        <f>625700+7278</f>
        <v>632978</v>
      </c>
      <c r="N105" s="20">
        <f>365550+19385</f>
        <v>384935</v>
      </c>
      <c r="O105" s="17">
        <f>301450+191370.27</f>
        <v>492820.27</v>
      </c>
      <c r="P105" s="17">
        <v>590730</v>
      </c>
      <c r="Q105" s="17">
        <v>400000</v>
      </c>
      <c r="R105" s="17">
        <v>400000</v>
      </c>
      <c r="S105" s="17">
        <v>500000</v>
      </c>
      <c r="T105" s="166"/>
      <c r="V105" s="43"/>
    </row>
    <row r="106" spans="1:22" s="39" customFormat="1" ht="15" customHeight="1" outlineLevel="2" x14ac:dyDescent="0.25">
      <c r="A106" s="14">
        <v>3412</v>
      </c>
      <c r="B106" s="14">
        <v>2111</v>
      </c>
      <c r="C106" s="18">
        <v>2086</v>
      </c>
      <c r="D106" s="172">
        <v>43526</v>
      </c>
      <c r="E106" s="14">
        <v>0</v>
      </c>
      <c r="F106" s="14">
        <v>0</v>
      </c>
      <c r="G106" s="14">
        <v>0</v>
      </c>
      <c r="H106" s="14">
        <v>0</v>
      </c>
      <c r="I106" s="13">
        <v>0</v>
      </c>
      <c r="J106" s="14" t="str">
        <f t="shared" si="17"/>
        <v>3412/2111/2086/43526/0/0/0/0/0</v>
      </c>
      <c r="K106" s="21" t="s">
        <v>162</v>
      </c>
      <c r="L106" s="22">
        <v>2202940.5</v>
      </c>
      <c r="M106" s="22">
        <v>2227940.5</v>
      </c>
      <c r="N106" s="20">
        <v>2246415.5</v>
      </c>
      <c r="O106" s="17">
        <v>2204551.5</v>
      </c>
      <c r="P106" s="17">
        <v>2160000</v>
      </c>
      <c r="Q106" s="17">
        <v>2185000</v>
      </c>
      <c r="R106" s="17">
        <v>2185000</v>
      </c>
      <c r="S106" s="17">
        <v>2185000</v>
      </c>
      <c r="T106" s="166"/>
      <c r="V106" s="43"/>
    </row>
    <row r="107" spans="1:22" s="39" customFormat="1" ht="15" customHeight="1" outlineLevel="2" x14ac:dyDescent="0.25">
      <c r="A107" s="399">
        <v>3412</v>
      </c>
      <c r="B107" s="399">
        <v>2111</v>
      </c>
      <c r="C107" s="399">
        <v>2086</v>
      </c>
      <c r="D107" s="399">
        <v>16805</v>
      </c>
      <c r="E107" s="14"/>
      <c r="F107" s="14"/>
      <c r="G107" s="14"/>
      <c r="H107" s="14"/>
      <c r="I107" s="13"/>
      <c r="J107" s="14"/>
      <c r="K107" s="21" t="s">
        <v>5088</v>
      </c>
      <c r="L107" s="22"/>
      <c r="M107" s="22"/>
      <c r="N107" s="20"/>
      <c r="O107" s="17"/>
      <c r="P107" s="17"/>
      <c r="Q107" s="17"/>
      <c r="R107" s="17"/>
      <c r="S107" s="17">
        <v>1000000</v>
      </c>
      <c r="T107" s="57"/>
      <c r="V107" s="43"/>
    </row>
    <row r="108" spans="1:22" s="39" customFormat="1" ht="15" customHeight="1" outlineLevel="2" x14ac:dyDescent="0.25">
      <c r="A108" s="14">
        <v>3412</v>
      </c>
      <c r="B108" s="14">
        <v>2112</v>
      </c>
      <c r="C108" s="18">
        <v>2086</v>
      </c>
      <c r="D108" s="14">
        <v>16421</v>
      </c>
      <c r="E108" s="14">
        <v>0</v>
      </c>
      <c r="F108" s="14">
        <v>0</v>
      </c>
      <c r="G108" s="14">
        <v>0</v>
      </c>
      <c r="H108" s="14">
        <v>0</v>
      </c>
      <c r="I108" s="13">
        <v>0</v>
      </c>
      <c r="J108" s="14" t="str">
        <f>CONCATENATE(A108,"/",B108,"/",C108,"/",D108,"/",E108,"/",F108,"/",G108,"/",H108,"/",I108)</f>
        <v>3412/2112/2086/16421/0/0/0/0/0</v>
      </c>
      <c r="K108" s="21" t="s">
        <v>3789</v>
      </c>
      <c r="L108" s="22"/>
      <c r="M108" s="22"/>
      <c r="N108" s="20">
        <v>2280</v>
      </c>
      <c r="O108" s="17">
        <v>0</v>
      </c>
      <c r="P108" s="17">
        <v>1720</v>
      </c>
      <c r="Q108" s="17">
        <v>3000</v>
      </c>
      <c r="R108" s="17">
        <v>3000</v>
      </c>
      <c r="S108" s="17">
        <v>5000</v>
      </c>
      <c r="T108" s="166"/>
      <c r="V108" s="43"/>
    </row>
    <row r="109" spans="1:22" s="39" customFormat="1" ht="15" customHeight="1" outlineLevel="2" x14ac:dyDescent="0.25">
      <c r="A109" s="14">
        <v>3412</v>
      </c>
      <c r="B109" s="14">
        <v>2132</v>
      </c>
      <c r="C109" s="18">
        <v>2086</v>
      </c>
      <c r="D109" s="14">
        <v>16421</v>
      </c>
      <c r="E109" s="14">
        <v>0</v>
      </c>
      <c r="F109" s="14">
        <v>0</v>
      </c>
      <c r="G109" s="14">
        <v>0</v>
      </c>
      <c r="H109" s="14">
        <v>0</v>
      </c>
      <c r="I109" s="13">
        <v>0</v>
      </c>
      <c r="J109" s="14" t="str">
        <f>CONCATENATE(A109,"/",B109,"/",C109,"/",D109,"/",E109,"/",F109,"/",G109,"/",H109,"/",I109)</f>
        <v>3412/2132/2086/16421/0/0/0/0/0</v>
      </c>
      <c r="K109" s="19" t="s">
        <v>4405</v>
      </c>
      <c r="L109" s="22"/>
      <c r="M109" s="22"/>
      <c r="N109" s="20"/>
      <c r="O109" s="17">
        <v>0</v>
      </c>
      <c r="P109" s="17">
        <v>14100</v>
      </c>
      <c r="Q109" s="17">
        <v>5000</v>
      </c>
      <c r="R109" s="17">
        <v>5000</v>
      </c>
      <c r="S109" s="17">
        <v>15000</v>
      </c>
      <c r="T109" s="166" t="s">
        <v>4645</v>
      </c>
      <c r="V109" s="43"/>
    </row>
    <row r="110" spans="1:22" s="39" customFormat="1" ht="15" customHeight="1" outlineLevel="2" x14ac:dyDescent="0.25">
      <c r="A110" s="237">
        <v>3412</v>
      </c>
      <c r="B110" s="237">
        <v>2132</v>
      </c>
      <c r="C110" s="18">
        <v>2086</v>
      </c>
      <c r="D110" s="237">
        <v>16521</v>
      </c>
      <c r="E110" s="237">
        <v>0</v>
      </c>
      <c r="F110" s="237">
        <v>0</v>
      </c>
      <c r="G110" s="237">
        <v>0</v>
      </c>
      <c r="H110" s="237">
        <v>0</v>
      </c>
      <c r="I110" s="237">
        <v>0</v>
      </c>
      <c r="J110" s="14" t="s">
        <v>4561</v>
      </c>
      <c r="K110" s="238" t="s">
        <v>2566</v>
      </c>
      <c r="L110" s="22"/>
      <c r="M110" s="22"/>
      <c r="N110" s="20"/>
      <c r="O110" s="17"/>
      <c r="P110" s="17">
        <v>1800</v>
      </c>
      <c r="Q110" s="17"/>
      <c r="R110" s="17"/>
      <c r="S110" s="17"/>
      <c r="T110" s="166"/>
      <c r="V110" s="43"/>
    </row>
    <row r="111" spans="1:22" s="39" customFormat="1" ht="15" customHeight="1" outlineLevel="2" x14ac:dyDescent="0.25">
      <c r="A111" s="14">
        <v>3412</v>
      </c>
      <c r="B111" s="14">
        <v>2132</v>
      </c>
      <c r="C111" s="18">
        <v>2086</v>
      </c>
      <c r="D111" s="14">
        <v>16807</v>
      </c>
      <c r="E111" s="14">
        <v>0</v>
      </c>
      <c r="F111" s="14">
        <v>0</v>
      </c>
      <c r="G111" s="14">
        <v>0</v>
      </c>
      <c r="H111" s="14">
        <v>0</v>
      </c>
      <c r="I111" s="13">
        <v>0</v>
      </c>
      <c r="J111" s="14" t="str">
        <f>CONCATENATE(A111,"/",B111,"/",C111,"/",D111,"/",E111,"/",F111,"/",G111,"/",H111,"/",I111)</f>
        <v>3412/2132/2086/16807/0/0/0/0/0</v>
      </c>
      <c r="K111" s="21" t="s">
        <v>4412</v>
      </c>
      <c r="L111" s="22"/>
      <c r="M111" s="22"/>
      <c r="N111" s="20"/>
      <c r="O111" s="17">
        <v>0</v>
      </c>
      <c r="P111" s="17">
        <v>3600</v>
      </c>
      <c r="Q111" s="17">
        <v>4000</v>
      </c>
      <c r="R111" s="17">
        <v>4000</v>
      </c>
      <c r="S111" s="17">
        <v>4000</v>
      </c>
      <c r="T111" s="166"/>
      <c r="V111" s="43"/>
    </row>
    <row r="112" spans="1:22" s="39" customFormat="1" ht="15" customHeight="1" outlineLevel="2" x14ac:dyDescent="0.25">
      <c r="A112" s="237">
        <v>3412</v>
      </c>
      <c r="B112" s="237">
        <v>2132</v>
      </c>
      <c r="C112" s="18">
        <v>2086</v>
      </c>
      <c r="D112" s="237">
        <v>16432</v>
      </c>
      <c r="E112" s="237">
        <v>0</v>
      </c>
      <c r="F112" s="237">
        <v>0</v>
      </c>
      <c r="G112" s="237">
        <v>0</v>
      </c>
      <c r="H112" s="237">
        <v>0</v>
      </c>
      <c r="I112" s="237">
        <v>0</v>
      </c>
      <c r="J112" s="14" t="s">
        <v>4560</v>
      </c>
      <c r="K112" s="238" t="s">
        <v>618</v>
      </c>
      <c r="L112" s="22"/>
      <c r="M112" s="22"/>
      <c r="N112" s="20"/>
      <c r="O112" s="17"/>
      <c r="P112" s="17">
        <f>5700+800</f>
        <v>6500</v>
      </c>
      <c r="Q112" s="17"/>
      <c r="R112" s="17"/>
      <c r="S112" s="17"/>
      <c r="T112" s="166"/>
      <c r="V112" s="43"/>
    </row>
    <row r="113" spans="1:22" s="39" customFormat="1" ht="15" customHeight="1" outlineLevel="2" x14ac:dyDescent="0.25">
      <c r="A113" s="399">
        <v>3412</v>
      </c>
      <c r="B113" s="399">
        <v>2322</v>
      </c>
      <c r="C113" s="18">
        <v>2086</v>
      </c>
      <c r="D113" s="399"/>
      <c r="E113" s="14"/>
      <c r="F113" s="14"/>
      <c r="G113" s="14"/>
      <c r="H113" s="14"/>
      <c r="I113" s="13"/>
      <c r="J113" s="14"/>
      <c r="K113" s="21" t="s">
        <v>4632</v>
      </c>
      <c r="L113" s="22"/>
      <c r="M113" s="22"/>
      <c r="N113" s="20"/>
      <c r="O113" s="17"/>
      <c r="P113" s="17"/>
      <c r="Q113" s="17"/>
      <c r="R113" s="17">
        <v>111386</v>
      </c>
      <c r="S113" s="17"/>
      <c r="T113" s="57" t="s">
        <v>4646</v>
      </c>
      <c r="V113" s="43"/>
    </row>
    <row r="114" spans="1:22" s="39" customFormat="1" ht="30" outlineLevel="2" x14ac:dyDescent="0.25">
      <c r="A114" s="14">
        <v>3419</v>
      </c>
      <c r="B114" s="14">
        <v>2229</v>
      </c>
      <c r="C114" s="18">
        <v>2086</v>
      </c>
      <c r="D114" s="14">
        <v>43029</v>
      </c>
      <c r="E114" s="14">
        <v>0</v>
      </c>
      <c r="F114" s="14">
        <v>0</v>
      </c>
      <c r="G114" s="14">
        <v>0</v>
      </c>
      <c r="H114" s="14">
        <v>52</v>
      </c>
      <c r="I114" s="13">
        <v>0</v>
      </c>
      <c r="J114" s="14" t="str">
        <f>CONCATENATE(A114,"/",B114,"/",C114,"/",D114,"/",E114,"/",F114,"/",G114,"/",H114,"/",I114)</f>
        <v>3419/2229/2086/43029/0/0/0/52/0</v>
      </c>
      <c r="K114" s="21" t="s">
        <v>613</v>
      </c>
      <c r="L114" s="22"/>
      <c r="M114" s="22"/>
      <c r="N114" s="20"/>
      <c r="O114" s="17">
        <v>19800</v>
      </c>
      <c r="P114" s="17"/>
      <c r="Q114" s="17"/>
      <c r="R114" s="17"/>
      <c r="S114" s="17"/>
      <c r="T114" s="57"/>
      <c r="V114" s="43"/>
    </row>
    <row r="115" spans="1:22" s="39" customFormat="1" ht="15" customHeight="1" outlineLevel="2" x14ac:dyDescent="0.25">
      <c r="A115" s="14">
        <v>3419</v>
      </c>
      <c r="B115" s="14">
        <v>2229</v>
      </c>
      <c r="C115" s="18">
        <v>2086</v>
      </c>
      <c r="D115" s="14">
        <v>43521</v>
      </c>
      <c r="E115" s="14">
        <v>0</v>
      </c>
      <c r="F115" s="14">
        <v>0</v>
      </c>
      <c r="G115" s="14">
        <v>0</v>
      </c>
      <c r="H115" s="14">
        <v>0</v>
      </c>
      <c r="I115" s="13">
        <v>0</v>
      </c>
      <c r="J115" s="14" t="str">
        <f>CONCATENATE(A115,"/",B115,"/",C115,"/",D115,"/",E115,"/",F115,"/",G115,"/",H115,"/",I115)</f>
        <v>3419/2229/2086/43521/0/0/0/0/0</v>
      </c>
      <c r="K115" s="21" t="s">
        <v>3741</v>
      </c>
      <c r="L115" s="22"/>
      <c r="M115" s="22"/>
      <c r="N115" s="20"/>
      <c r="O115" s="17">
        <v>559016</v>
      </c>
      <c r="P115" s="17">
        <v>240927</v>
      </c>
      <c r="Q115" s="17"/>
      <c r="R115" s="17"/>
      <c r="S115" s="17"/>
      <c r="T115" s="57"/>
      <c r="V115" s="43"/>
    </row>
    <row r="116" spans="1:22" s="39" customFormat="1" outlineLevel="2" x14ac:dyDescent="0.25">
      <c r="A116" s="237">
        <v>3419</v>
      </c>
      <c r="B116" s="237">
        <v>2321</v>
      </c>
      <c r="C116" s="18">
        <v>2086</v>
      </c>
      <c r="D116" s="237">
        <v>43526</v>
      </c>
      <c r="E116" s="237">
        <v>0</v>
      </c>
      <c r="F116" s="237">
        <v>0</v>
      </c>
      <c r="G116" s="237">
        <v>0</v>
      </c>
      <c r="H116" s="237">
        <v>0</v>
      </c>
      <c r="I116" s="237">
        <v>0</v>
      </c>
      <c r="J116" s="14" t="s">
        <v>4578</v>
      </c>
      <c r="K116" s="238" t="s">
        <v>4514</v>
      </c>
      <c r="L116" s="22"/>
      <c r="M116" s="22"/>
      <c r="N116" s="20"/>
      <c r="O116" s="17"/>
      <c r="P116" s="17">
        <v>20000</v>
      </c>
      <c r="Q116" s="17"/>
      <c r="R116" s="17"/>
      <c r="S116" s="17"/>
      <c r="T116" s="57"/>
      <c r="V116" s="43"/>
    </row>
    <row r="117" spans="1:22" s="39" customFormat="1" outlineLevel="1" x14ac:dyDescent="0.25">
      <c r="A117" s="420"/>
      <c r="B117" s="420"/>
      <c r="C117" s="418" t="s">
        <v>4667</v>
      </c>
      <c r="D117" s="420"/>
      <c r="E117" s="420"/>
      <c r="F117" s="420"/>
      <c r="G117" s="420"/>
      <c r="H117" s="420"/>
      <c r="I117" s="420"/>
      <c r="J117" s="14"/>
      <c r="K117" s="422"/>
      <c r="L117" s="412">
        <f t="shared" ref="L117:S117" si="18">SUBTOTAL(9,L100:L116)</f>
        <v>4461169.0999999996</v>
      </c>
      <c r="M117" s="412">
        <f t="shared" si="18"/>
        <v>5837164.5099999998</v>
      </c>
      <c r="N117" s="413">
        <f t="shared" si="18"/>
        <v>5202583.68</v>
      </c>
      <c r="O117" s="414">
        <f t="shared" si="18"/>
        <v>6361460.8499999996</v>
      </c>
      <c r="P117" s="414">
        <f t="shared" si="18"/>
        <v>8052276</v>
      </c>
      <c r="Q117" s="414">
        <f t="shared" si="18"/>
        <v>6902000</v>
      </c>
      <c r="R117" s="414">
        <f t="shared" si="18"/>
        <v>7013386</v>
      </c>
      <c r="S117" s="414">
        <f t="shared" si="18"/>
        <v>9299000</v>
      </c>
      <c r="T117" s="415"/>
      <c r="V117" s="43"/>
    </row>
    <row r="118" spans="1:22" s="39" customFormat="1" ht="15" customHeight="1" outlineLevel="2" x14ac:dyDescent="0.25">
      <c r="A118" s="14">
        <v>0</v>
      </c>
      <c r="B118" s="14">
        <v>1111</v>
      </c>
      <c r="C118" s="205">
        <v>2090</v>
      </c>
      <c r="D118" s="14">
        <v>32612</v>
      </c>
      <c r="E118" s="14">
        <v>0</v>
      </c>
      <c r="F118" s="14">
        <v>0</v>
      </c>
      <c r="G118" s="14">
        <v>0</v>
      </c>
      <c r="H118" s="14">
        <v>0</v>
      </c>
      <c r="I118" s="13">
        <v>0</v>
      </c>
      <c r="J118" s="14" t="str">
        <f t="shared" ref="J118:J129" si="19">CONCATENATE(A118,"/",B118,"/",C118,"/",D118,"/",E118,"/",F118,"/",G118,"/",H118,"/",I118)</f>
        <v>0/1111/2090/32612/0/0/0/0/0</v>
      </c>
      <c r="K118" s="21" t="s">
        <v>58</v>
      </c>
      <c r="L118" s="22">
        <v>64281279.710000001</v>
      </c>
      <c r="M118" s="22">
        <v>72054424.150000006</v>
      </c>
      <c r="N118" s="20">
        <v>68068955.349999994</v>
      </c>
      <c r="O118" s="17">
        <v>51245585.93</v>
      </c>
      <c r="P118" s="17">
        <v>54927563.5</v>
      </c>
      <c r="Q118" s="22">
        <v>60946000</v>
      </c>
      <c r="R118" s="22">
        <v>60946000</v>
      </c>
      <c r="S118" s="22">
        <f>76920000-S119</f>
        <v>70320000</v>
      </c>
      <c r="T118" s="166" t="s">
        <v>4654</v>
      </c>
      <c r="V118" s="43"/>
    </row>
    <row r="119" spans="1:22" s="39" customFormat="1" ht="15" customHeight="1" outlineLevel="2" x14ac:dyDescent="0.25">
      <c r="A119" s="14">
        <v>0</v>
      </c>
      <c r="B119" s="14">
        <v>1111</v>
      </c>
      <c r="C119" s="205">
        <v>2090</v>
      </c>
      <c r="D119" s="14">
        <v>34634</v>
      </c>
      <c r="E119" s="14">
        <v>0</v>
      </c>
      <c r="F119" s="14">
        <v>0</v>
      </c>
      <c r="G119" s="14">
        <v>0</v>
      </c>
      <c r="H119" s="14">
        <v>0</v>
      </c>
      <c r="I119" s="13">
        <v>0</v>
      </c>
      <c r="J119" s="14" t="str">
        <f t="shared" si="19"/>
        <v>0/1111/2090/34634/0/0/0/0/0</v>
      </c>
      <c r="K119" s="21" t="s">
        <v>59</v>
      </c>
      <c r="L119" s="22">
        <v>6428525.1799999997</v>
      </c>
      <c r="M119" s="22">
        <v>7121143.2699999996</v>
      </c>
      <c r="N119" s="20">
        <v>7011945.1100000003</v>
      </c>
      <c r="O119" s="17">
        <v>4745690.9800000004</v>
      </c>
      <c r="P119" s="17">
        <v>4978382.3499999996</v>
      </c>
      <c r="Q119" s="22">
        <v>5644000</v>
      </c>
      <c r="R119" s="22">
        <v>5644000</v>
      </c>
      <c r="S119" s="22">
        <v>6600000</v>
      </c>
      <c r="T119" s="166" t="s">
        <v>4654</v>
      </c>
      <c r="V119" s="43"/>
    </row>
    <row r="120" spans="1:22" s="39" customFormat="1" ht="15" customHeight="1" outlineLevel="2" x14ac:dyDescent="0.25">
      <c r="A120" s="14">
        <v>0</v>
      </c>
      <c r="B120" s="14">
        <v>1112</v>
      </c>
      <c r="C120" s="205">
        <v>2090</v>
      </c>
      <c r="D120" s="14">
        <v>31652</v>
      </c>
      <c r="E120" s="14">
        <v>0</v>
      </c>
      <c r="F120" s="14">
        <v>0</v>
      </c>
      <c r="G120" s="14">
        <v>0</v>
      </c>
      <c r="H120" s="14">
        <v>0</v>
      </c>
      <c r="I120" s="13">
        <v>0</v>
      </c>
      <c r="J120" s="14" t="str">
        <f t="shared" si="19"/>
        <v>0/1112/2090/31652/0/0/0/0/0</v>
      </c>
      <c r="K120" s="21" t="s">
        <v>56</v>
      </c>
      <c r="L120" s="22">
        <v>1532308.83</v>
      </c>
      <c r="M120" s="22">
        <v>2022612.31</v>
      </c>
      <c r="N120" s="20">
        <v>1129732.54</v>
      </c>
      <c r="O120" s="17">
        <v>3420822.89</v>
      </c>
      <c r="P120" s="17">
        <v>5120908.28</v>
      </c>
      <c r="Q120" s="22">
        <v>4020000</v>
      </c>
      <c r="R120" s="22">
        <v>4020000</v>
      </c>
      <c r="S120" s="22">
        <v>5050000</v>
      </c>
      <c r="T120" s="166" t="s">
        <v>4654</v>
      </c>
      <c r="V120" s="43"/>
    </row>
    <row r="121" spans="1:22" s="39" customFormat="1" ht="15" customHeight="1" outlineLevel="2" x14ac:dyDescent="0.25">
      <c r="A121" s="14">
        <v>0</v>
      </c>
      <c r="B121" s="14">
        <v>1113</v>
      </c>
      <c r="C121" s="205">
        <v>2090</v>
      </c>
      <c r="D121" s="14">
        <v>31660</v>
      </c>
      <c r="E121" s="14">
        <v>0</v>
      </c>
      <c r="F121" s="14">
        <v>0</v>
      </c>
      <c r="G121" s="14">
        <v>0</v>
      </c>
      <c r="H121" s="14">
        <v>0</v>
      </c>
      <c r="I121" s="13">
        <v>0</v>
      </c>
      <c r="J121" s="14" t="str">
        <f t="shared" si="19"/>
        <v>0/1113/2090/31660/0/0/0/0/0</v>
      </c>
      <c r="K121" s="21" t="s">
        <v>57</v>
      </c>
      <c r="L121" s="22">
        <v>6056351.46</v>
      </c>
      <c r="M121" s="22">
        <v>6821976.0499999998</v>
      </c>
      <c r="N121" s="20">
        <v>6893524.6299999999</v>
      </c>
      <c r="O121" s="17">
        <v>8869769.9800000004</v>
      </c>
      <c r="P121" s="17">
        <v>11383511.32</v>
      </c>
      <c r="Q121" s="22">
        <v>12860000</v>
      </c>
      <c r="R121" s="22">
        <v>12860000</v>
      </c>
      <c r="S121" s="22">
        <v>13700000</v>
      </c>
      <c r="T121" s="166" t="s">
        <v>4654</v>
      </c>
      <c r="V121" s="43"/>
    </row>
    <row r="122" spans="1:22" s="173" customFormat="1" ht="15" customHeight="1" outlineLevel="2" x14ac:dyDescent="0.25">
      <c r="A122" s="14">
        <v>0</v>
      </c>
      <c r="B122" s="14">
        <v>1121</v>
      </c>
      <c r="C122" s="205">
        <v>2090</v>
      </c>
      <c r="D122" s="14">
        <v>36410</v>
      </c>
      <c r="E122" s="14">
        <v>0</v>
      </c>
      <c r="F122" s="14">
        <v>0</v>
      </c>
      <c r="G122" s="14">
        <v>0</v>
      </c>
      <c r="H122" s="14">
        <v>0</v>
      </c>
      <c r="I122" s="13">
        <v>0</v>
      </c>
      <c r="J122" s="14" t="str">
        <f t="shared" si="19"/>
        <v>0/1121/2090/36410/0/0/0/0/0</v>
      </c>
      <c r="K122" s="21" t="s">
        <v>60</v>
      </c>
      <c r="L122" s="22">
        <v>55622103.460000001</v>
      </c>
      <c r="M122" s="22">
        <v>63541118.030000001</v>
      </c>
      <c r="N122" s="20">
        <v>51599163.439999998</v>
      </c>
      <c r="O122" s="17">
        <v>74844640.159999996</v>
      </c>
      <c r="P122" s="17">
        <v>86063503.959999993</v>
      </c>
      <c r="Q122" s="22">
        <v>89980000</v>
      </c>
      <c r="R122" s="22">
        <v>89980000</v>
      </c>
      <c r="S122" s="22">
        <v>100970000</v>
      </c>
      <c r="T122" s="166" t="s">
        <v>4654</v>
      </c>
      <c r="V122" s="558"/>
    </row>
    <row r="123" spans="1:22" s="39" customFormat="1" ht="15" customHeight="1" outlineLevel="2" x14ac:dyDescent="0.25">
      <c r="A123" s="211">
        <v>0</v>
      </c>
      <c r="B123" s="211">
        <v>1122</v>
      </c>
      <c r="C123" s="160">
        <v>2090</v>
      </c>
      <c r="D123" s="211">
        <v>0</v>
      </c>
      <c r="E123" s="211">
        <v>0</v>
      </c>
      <c r="F123" s="211">
        <v>0</v>
      </c>
      <c r="G123" s="211">
        <v>0</v>
      </c>
      <c r="H123" s="211">
        <v>0</v>
      </c>
      <c r="I123" s="211">
        <v>0</v>
      </c>
      <c r="J123" s="14" t="str">
        <f t="shared" si="19"/>
        <v>0/1122/2090/0/0/0/0/0/0</v>
      </c>
      <c r="K123" s="432" t="s">
        <v>62</v>
      </c>
      <c r="L123" s="345" t="s">
        <v>3807</v>
      </c>
      <c r="M123" s="345" t="s">
        <v>3911</v>
      </c>
      <c r="N123" s="433" t="s">
        <v>3912</v>
      </c>
      <c r="O123" s="433" t="s">
        <v>4353</v>
      </c>
      <c r="P123" s="206" t="s">
        <v>4690</v>
      </c>
      <c r="Q123" s="434"/>
      <c r="R123" s="435" t="s">
        <v>4691</v>
      </c>
      <c r="S123" s="434">
        <v>0</v>
      </c>
      <c r="T123" s="166" t="s">
        <v>4647</v>
      </c>
      <c r="V123" s="43"/>
    </row>
    <row r="124" spans="1:22" s="173" customFormat="1" ht="15" customHeight="1" outlineLevel="2" x14ac:dyDescent="0.25">
      <c r="A124" s="14">
        <v>0</v>
      </c>
      <c r="B124" s="14">
        <v>1211</v>
      </c>
      <c r="C124" s="205">
        <v>2090</v>
      </c>
      <c r="D124" s="14">
        <v>31679</v>
      </c>
      <c r="E124" s="14">
        <v>0</v>
      </c>
      <c r="F124" s="14">
        <v>0</v>
      </c>
      <c r="G124" s="14">
        <v>0</v>
      </c>
      <c r="H124" s="14">
        <v>0</v>
      </c>
      <c r="I124" s="13">
        <v>0</v>
      </c>
      <c r="J124" s="14" t="str">
        <f t="shared" si="19"/>
        <v>0/1211/2090/31679/0/0/0/0/0</v>
      </c>
      <c r="K124" s="21" t="s">
        <v>61</v>
      </c>
      <c r="L124" s="22">
        <v>136805938.40000001</v>
      </c>
      <c r="M124" s="22">
        <v>143040151.28999999</v>
      </c>
      <c r="N124" s="20">
        <v>141501909.65000001</v>
      </c>
      <c r="O124" s="17">
        <v>167315633.72</v>
      </c>
      <c r="P124" s="17">
        <v>195548517.88999999</v>
      </c>
      <c r="Q124" s="22">
        <v>217920000</v>
      </c>
      <c r="R124" s="22">
        <v>217920000</v>
      </c>
      <c r="S124" s="22">
        <v>215640000</v>
      </c>
      <c r="T124" s="166" t="s">
        <v>4654</v>
      </c>
      <c r="V124" s="558"/>
    </row>
    <row r="125" spans="1:22" s="173" customFormat="1" ht="15" customHeight="1" outlineLevel="2" x14ac:dyDescent="0.25">
      <c r="A125" s="14">
        <v>0</v>
      </c>
      <c r="B125" s="14">
        <v>1334</v>
      </c>
      <c r="C125" s="205">
        <v>2090</v>
      </c>
      <c r="D125" s="14">
        <v>36760</v>
      </c>
      <c r="E125" s="14">
        <v>0</v>
      </c>
      <c r="F125" s="14">
        <v>0</v>
      </c>
      <c r="G125" s="14">
        <v>0</v>
      </c>
      <c r="H125" s="14">
        <v>0</v>
      </c>
      <c r="I125" s="13">
        <v>0</v>
      </c>
      <c r="J125" s="14" t="str">
        <f t="shared" si="19"/>
        <v>0/1334/2090/36760/0/0/0/0/0</v>
      </c>
      <c r="K125" s="21" t="s">
        <v>3784</v>
      </c>
      <c r="L125" s="22">
        <f>233088.39+33147.72</f>
        <v>266236.11</v>
      </c>
      <c r="M125" s="22">
        <f>543149.1+1115.2</f>
        <v>544264.29999999993</v>
      </c>
      <c r="N125" s="20">
        <v>65371.51</v>
      </c>
      <c r="O125" s="17">
        <v>37064.730000000003</v>
      </c>
      <c r="P125" s="17">
        <v>472158.89</v>
      </c>
      <c r="Q125" s="17"/>
      <c r="R125" s="17"/>
      <c r="S125" s="17">
        <v>0</v>
      </c>
      <c r="T125" s="166"/>
      <c r="V125" s="558"/>
    </row>
    <row r="126" spans="1:22" s="39" customFormat="1" ht="15" customHeight="1" outlineLevel="2" x14ac:dyDescent="0.25">
      <c r="A126" s="14">
        <v>0</v>
      </c>
      <c r="B126" s="14">
        <v>1335</v>
      </c>
      <c r="C126" s="18">
        <v>2090</v>
      </c>
      <c r="D126" s="14">
        <v>31636</v>
      </c>
      <c r="E126" s="14">
        <v>0</v>
      </c>
      <c r="F126" s="14">
        <v>0</v>
      </c>
      <c r="G126" s="14">
        <v>0</v>
      </c>
      <c r="H126" s="14">
        <v>0</v>
      </c>
      <c r="I126" s="13">
        <v>0</v>
      </c>
      <c r="J126" s="14" t="str">
        <f t="shared" si="19"/>
        <v>0/1335/2090/31636/0/0/0/0/0</v>
      </c>
      <c r="K126" s="21" t="s">
        <v>55</v>
      </c>
      <c r="L126" s="22"/>
      <c r="M126" s="22"/>
      <c r="N126" s="20"/>
      <c r="O126" s="17">
        <v>22574.04</v>
      </c>
      <c r="P126" s="17">
        <v>8261.2000000000007</v>
      </c>
      <c r="Q126" s="17"/>
      <c r="R126" s="17"/>
      <c r="S126" s="17">
        <v>0</v>
      </c>
      <c r="T126" s="57"/>
      <c r="V126" s="43"/>
    </row>
    <row r="127" spans="1:22" s="39" customFormat="1" ht="15" customHeight="1" outlineLevel="2" x14ac:dyDescent="0.25">
      <c r="A127" s="14">
        <v>0</v>
      </c>
      <c r="B127" s="14">
        <v>1511</v>
      </c>
      <c r="C127" s="205">
        <v>2090</v>
      </c>
      <c r="D127" s="14">
        <v>36330</v>
      </c>
      <c r="E127" s="14">
        <v>0</v>
      </c>
      <c r="F127" s="14">
        <v>0</v>
      </c>
      <c r="G127" s="14">
        <v>0</v>
      </c>
      <c r="H127" s="14">
        <v>0</v>
      </c>
      <c r="I127" s="13">
        <v>0</v>
      </c>
      <c r="J127" s="14" t="str">
        <f t="shared" si="19"/>
        <v>0/1511/2090/36330/0/0/0/0/0</v>
      </c>
      <c r="K127" s="21" t="s">
        <v>63</v>
      </c>
      <c r="L127" s="22">
        <v>26756432.41</v>
      </c>
      <c r="M127" s="22">
        <v>27575123.16</v>
      </c>
      <c r="N127" s="20">
        <v>26128962.890000001</v>
      </c>
      <c r="O127" s="17">
        <v>24037423.010000002</v>
      </c>
      <c r="P127" s="17">
        <v>28802287.879999999</v>
      </c>
      <c r="Q127" s="22">
        <v>25000000</v>
      </c>
      <c r="R127" s="22">
        <v>25000000</v>
      </c>
      <c r="S127" s="22">
        <v>51844000</v>
      </c>
      <c r="T127" s="166" t="s">
        <v>4654</v>
      </c>
      <c r="V127" s="43"/>
    </row>
    <row r="128" spans="1:22" s="39" customFormat="1" ht="15" customHeight="1" outlineLevel="2" x14ac:dyDescent="0.25">
      <c r="A128" s="14">
        <v>6310</v>
      </c>
      <c r="B128" s="14">
        <v>2141</v>
      </c>
      <c r="C128" s="205">
        <v>2090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3">
        <v>0</v>
      </c>
      <c r="J128" s="14" t="str">
        <f t="shared" si="19"/>
        <v>6310/2141/2090/0/0/0/0/0/0</v>
      </c>
      <c r="K128" s="21" t="s">
        <v>3774</v>
      </c>
      <c r="L128" s="22">
        <f>52657.82+500</f>
        <v>53157.82</v>
      </c>
      <c r="M128" s="22">
        <f>175685.04+3972</f>
        <v>179657.04</v>
      </c>
      <c r="N128" s="20">
        <f>110.35+204826.78+107125+1238.34+273.04+11265.72</f>
        <v>324839.23</v>
      </c>
      <c r="O128" s="17">
        <f>189641.59+500</f>
        <v>190141.59</v>
      </c>
      <c r="P128" s="17">
        <v>5472315.2300000004</v>
      </c>
      <c r="Q128" s="17">
        <v>100000</v>
      </c>
      <c r="R128" s="17">
        <v>458630.59</v>
      </c>
      <c r="S128" s="17">
        <f>500000+834200+4</f>
        <v>1334204</v>
      </c>
      <c r="T128" s="166"/>
      <c r="V128" s="43"/>
    </row>
    <row r="129" spans="1:22" s="39" customFormat="1" ht="15" customHeight="1" outlineLevel="2" x14ac:dyDescent="0.25">
      <c r="A129" s="14">
        <v>6409</v>
      </c>
      <c r="B129" s="14">
        <v>3111</v>
      </c>
      <c r="C129" s="18">
        <v>2090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3">
        <v>0</v>
      </c>
      <c r="J129" s="14" t="str">
        <f t="shared" si="19"/>
        <v>6409/3111/2090/0/0/0/0/0/0</v>
      </c>
      <c r="K129" s="21" t="s">
        <v>4050</v>
      </c>
      <c r="L129" s="22"/>
      <c r="M129" s="22"/>
      <c r="N129" s="20"/>
      <c r="O129" s="17">
        <v>3923.21</v>
      </c>
      <c r="P129" s="17"/>
      <c r="Q129" s="17"/>
      <c r="R129" s="17"/>
      <c r="S129" s="17"/>
      <c r="T129" s="166"/>
      <c r="V129" s="43"/>
    </row>
    <row r="130" spans="1:22" s="39" customFormat="1" ht="15" customHeight="1" outlineLevel="1" x14ac:dyDescent="0.25">
      <c r="A130" s="409"/>
      <c r="B130" s="409"/>
      <c r="C130" s="418" t="s">
        <v>4668</v>
      </c>
      <c r="D130" s="409"/>
      <c r="E130" s="409"/>
      <c r="F130" s="409"/>
      <c r="G130" s="409"/>
      <c r="H130" s="409"/>
      <c r="I130" s="409"/>
      <c r="J130" s="14"/>
      <c r="K130" s="411"/>
      <c r="L130" s="412">
        <f t="shared" ref="L130:S130" si="20">SUBTOTAL(9,L118:L129)</f>
        <v>297802333.38</v>
      </c>
      <c r="M130" s="412">
        <f t="shared" si="20"/>
        <v>322900469.60000008</v>
      </c>
      <c r="N130" s="413">
        <f t="shared" si="20"/>
        <v>302724404.35000002</v>
      </c>
      <c r="O130" s="414">
        <f t="shared" si="20"/>
        <v>334733270.23999995</v>
      </c>
      <c r="P130" s="414">
        <f t="shared" si="20"/>
        <v>392777410.49999994</v>
      </c>
      <c r="Q130" s="414">
        <f t="shared" si="20"/>
        <v>416470000</v>
      </c>
      <c r="R130" s="414">
        <f t="shared" si="20"/>
        <v>416828630.58999997</v>
      </c>
      <c r="S130" s="414">
        <f t="shared" si="20"/>
        <v>465458204</v>
      </c>
      <c r="T130" s="423"/>
      <c r="V130" s="43"/>
    </row>
    <row r="131" spans="1:22" s="39" customFormat="1" ht="45" customHeight="1" outlineLevel="2" x14ac:dyDescent="0.25">
      <c r="A131" s="14">
        <v>0</v>
      </c>
      <c r="B131" s="14">
        <v>1341</v>
      </c>
      <c r="C131" s="205">
        <v>2094</v>
      </c>
      <c r="D131" s="14">
        <v>30004</v>
      </c>
      <c r="E131" s="14">
        <v>0</v>
      </c>
      <c r="F131" s="14">
        <v>0</v>
      </c>
      <c r="G131" s="14">
        <v>0</v>
      </c>
      <c r="H131" s="14">
        <v>0</v>
      </c>
      <c r="I131" s="13">
        <v>0</v>
      </c>
      <c r="J131" s="14" t="str">
        <f t="shared" ref="J131:J138" si="21">CONCATENATE(A131,"/",B131,"/",C131,"/",D131,"/",E131,"/",F131,"/",G131,"/",H131,"/",I131)</f>
        <v>0/1341/2094/30004/0/0/0/0/0</v>
      </c>
      <c r="K131" s="21" t="s">
        <v>67</v>
      </c>
      <c r="L131" s="22">
        <v>567989.15</v>
      </c>
      <c r="M131" s="22">
        <v>560927.56999999995</v>
      </c>
      <c r="N131" s="20">
        <v>555633.18999999994</v>
      </c>
      <c r="O131" s="17">
        <v>571752.63</v>
      </c>
      <c r="P131" s="17">
        <v>579364.03</v>
      </c>
      <c r="Q131" s="17">
        <v>530000</v>
      </c>
      <c r="R131" s="17">
        <v>530000</v>
      </c>
      <c r="S131" s="17">
        <v>540000</v>
      </c>
      <c r="T131" s="57"/>
      <c r="V131" s="43"/>
    </row>
    <row r="132" spans="1:22" s="39" customFormat="1" outlineLevel="2" x14ac:dyDescent="0.25">
      <c r="A132" s="14">
        <v>0</v>
      </c>
      <c r="B132" s="14">
        <v>1342</v>
      </c>
      <c r="C132" s="205">
        <v>2094</v>
      </c>
      <c r="D132" s="14">
        <v>30010</v>
      </c>
      <c r="E132" s="14">
        <v>0</v>
      </c>
      <c r="F132" s="14">
        <v>0</v>
      </c>
      <c r="G132" s="14">
        <v>0</v>
      </c>
      <c r="H132" s="14">
        <v>0</v>
      </c>
      <c r="I132" s="13">
        <v>0</v>
      </c>
      <c r="J132" s="14" t="str">
        <f t="shared" si="21"/>
        <v>0/1342/2094/30010/0/0/0/0/0</v>
      </c>
      <c r="K132" s="21" t="s">
        <v>2786</v>
      </c>
      <c r="L132" s="22">
        <v>1319535.9300000002</v>
      </c>
      <c r="M132" s="22">
        <v>1450338</v>
      </c>
      <c r="N132" s="20">
        <f>1056775+182340+139820</f>
        <v>1378935</v>
      </c>
      <c r="O132" s="17">
        <v>1231413</v>
      </c>
      <c r="P132" s="17">
        <v>1913490</v>
      </c>
      <c r="Q132" s="17">
        <v>1500000</v>
      </c>
      <c r="R132" s="17">
        <v>1500000</v>
      </c>
      <c r="S132" s="17">
        <v>3600000</v>
      </c>
      <c r="T132" s="554" t="s">
        <v>5101</v>
      </c>
      <c r="V132" s="43"/>
    </row>
    <row r="133" spans="1:22" s="39" customFormat="1" ht="15" customHeight="1" outlineLevel="2" x14ac:dyDescent="0.25">
      <c r="A133" s="14">
        <v>0</v>
      </c>
      <c r="B133" s="14">
        <v>1345</v>
      </c>
      <c r="C133" s="205">
        <v>2094</v>
      </c>
      <c r="D133" s="14">
        <v>30022</v>
      </c>
      <c r="E133" s="14">
        <v>0</v>
      </c>
      <c r="F133" s="14">
        <v>0</v>
      </c>
      <c r="G133" s="14">
        <v>0</v>
      </c>
      <c r="H133" s="14">
        <v>0</v>
      </c>
      <c r="I133" s="13">
        <v>0</v>
      </c>
      <c r="J133" s="14" t="str">
        <f t="shared" si="21"/>
        <v>0/1345/2094/30022/0/0/0/0/0</v>
      </c>
      <c r="K133" s="21" t="s">
        <v>66</v>
      </c>
      <c r="L133" s="22">
        <v>13728232.5</v>
      </c>
      <c r="M133" s="22">
        <v>13421496.08</v>
      </c>
      <c r="N133" s="20">
        <v>13011825.43</v>
      </c>
      <c r="O133" s="17">
        <f>13642121.27+29.02</f>
        <v>13642150.289999999</v>
      </c>
      <c r="P133" s="17">
        <v>15734917.24</v>
      </c>
      <c r="Q133" s="17">
        <f>15000000-580000</f>
        <v>14420000</v>
      </c>
      <c r="R133" s="17">
        <f>15000000-580000</f>
        <v>14420000</v>
      </c>
      <c r="S133" s="17">
        <f>14420000+4700000</f>
        <v>19120000</v>
      </c>
      <c r="T133" s="554" t="s">
        <v>5102</v>
      </c>
      <c r="V133" s="43"/>
    </row>
    <row r="134" spans="1:22" s="39" customFormat="1" ht="30" customHeight="1" outlineLevel="2" x14ac:dyDescent="0.25">
      <c r="A134" s="14">
        <v>0</v>
      </c>
      <c r="B134" s="14">
        <v>1361</v>
      </c>
      <c r="C134" s="205">
        <v>2094</v>
      </c>
      <c r="D134" s="14">
        <v>31015</v>
      </c>
      <c r="E134" s="14">
        <v>0</v>
      </c>
      <c r="F134" s="14">
        <v>0</v>
      </c>
      <c r="G134" s="14">
        <v>0</v>
      </c>
      <c r="H134" s="14">
        <v>0</v>
      </c>
      <c r="I134" s="13">
        <v>0</v>
      </c>
      <c r="J134" s="14" t="str">
        <f t="shared" si="21"/>
        <v>0/1361/2094/31015/0/0/0/0/0</v>
      </c>
      <c r="K134" s="21" t="s">
        <v>68</v>
      </c>
      <c r="L134" s="22">
        <v>10600</v>
      </c>
      <c r="M134" s="22">
        <v>13200</v>
      </c>
      <c r="N134" s="20">
        <v>13100</v>
      </c>
      <c r="O134" s="17">
        <v>6400</v>
      </c>
      <c r="P134" s="17">
        <v>8200</v>
      </c>
      <c r="Q134" s="17">
        <v>10000</v>
      </c>
      <c r="R134" s="17">
        <v>10000</v>
      </c>
      <c r="S134" s="17">
        <v>10000</v>
      </c>
      <c r="T134" s="57"/>
      <c r="V134" s="43"/>
    </row>
    <row r="135" spans="1:22" s="39" customFormat="1" ht="15" customHeight="1" outlineLevel="2" x14ac:dyDescent="0.25">
      <c r="A135" s="14">
        <v>0</v>
      </c>
      <c r="B135" s="14">
        <v>1361</v>
      </c>
      <c r="C135" s="205">
        <v>2094</v>
      </c>
      <c r="D135" s="14">
        <v>31039</v>
      </c>
      <c r="E135" s="14">
        <v>0</v>
      </c>
      <c r="F135" s="14">
        <v>0</v>
      </c>
      <c r="G135" s="14">
        <v>0</v>
      </c>
      <c r="H135" s="14">
        <v>0</v>
      </c>
      <c r="I135" s="13">
        <v>0</v>
      </c>
      <c r="J135" s="14" t="str">
        <f t="shared" si="21"/>
        <v>0/1361/2094/31039/0/0/0/0/0</v>
      </c>
      <c r="K135" s="21" t="s">
        <v>69</v>
      </c>
      <c r="L135" s="22">
        <v>14400</v>
      </c>
      <c r="M135" s="22">
        <v>11700</v>
      </c>
      <c r="N135" s="20">
        <v>13300</v>
      </c>
      <c r="O135" s="17">
        <v>8800</v>
      </c>
      <c r="P135" s="17">
        <v>11200</v>
      </c>
      <c r="Q135" s="17">
        <v>8000</v>
      </c>
      <c r="R135" s="17">
        <v>8000</v>
      </c>
      <c r="S135" s="17">
        <v>8000</v>
      </c>
      <c r="T135" s="57"/>
      <c r="V135" s="43"/>
    </row>
    <row r="136" spans="1:22" s="39" customFormat="1" ht="30" customHeight="1" outlineLevel="2" x14ac:dyDescent="0.25">
      <c r="A136" s="14">
        <v>0</v>
      </c>
      <c r="B136" s="14">
        <v>1361</v>
      </c>
      <c r="C136" s="205">
        <v>2094</v>
      </c>
      <c r="D136" s="14">
        <v>31014</v>
      </c>
      <c r="E136" s="14">
        <v>0</v>
      </c>
      <c r="F136" s="14">
        <v>0</v>
      </c>
      <c r="G136" s="14">
        <v>0</v>
      </c>
      <c r="H136" s="14">
        <v>0</v>
      </c>
      <c r="I136" s="13">
        <v>0</v>
      </c>
      <c r="J136" s="14" t="str">
        <f t="shared" si="21"/>
        <v>0/1361/2094/31014/0/0/0/0/0</v>
      </c>
      <c r="K136" s="21" t="s">
        <v>70</v>
      </c>
      <c r="L136" s="22">
        <v>44000</v>
      </c>
      <c r="M136" s="22">
        <v>24000</v>
      </c>
      <c r="N136" s="20">
        <v>20000</v>
      </c>
      <c r="O136" s="17">
        <v>16000</v>
      </c>
      <c r="P136" s="17">
        <v>8000</v>
      </c>
      <c r="Q136" s="17">
        <v>20000</v>
      </c>
      <c r="R136" s="17">
        <v>20000</v>
      </c>
      <c r="S136" s="17">
        <v>8000</v>
      </c>
      <c r="T136" s="57"/>
      <c r="V136" s="43"/>
    </row>
    <row r="137" spans="1:22" s="39" customFormat="1" ht="30" customHeight="1" outlineLevel="2" x14ac:dyDescent="0.25">
      <c r="A137" s="14">
        <v>0</v>
      </c>
      <c r="B137" s="14">
        <v>1361</v>
      </c>
      <c r="C137" s="205">
        <v>2094</v>
      </c>
      <c r="D137" s="14">
        <v>31016</v>
      </c>
      <c r="E137" s="14">
        <v>0</v>
      </c>
      <c r="F137" s="14">
        <v>0</v>
      </c>
      <c r="G137" s="14">
        <v>0</v>
      </c>
      <c r="H137" s="14">
        <v>0</v>
      </c>
      <c r="I137" s="13">
        <v>0</v>
      </c>
      <c r="J137" s="14" t="str">
        <f t="shared" si="21"/>
        <v>0/1361/2094/31016/0/0/0/0/0</v>
      </c>
      <c r="K137" s="21" t="s">
        <v>71</v>
      </c>
      <c r="L137" s="22">
        <v>50000</v>
      </c>
      <c r="M137" s="22">
        <v>37500</v>
      </c>
      <c r="N137" s="20">
        <v>22500</v>
      </c>
      <c r="O137" s="17">
        <v>25000</v>
      </c>
      <c r="P137" s="17">
        <v>12500</v>
      </c>
      <c r="Q137" s="17">
        <v>10000</v>
      </c>
      <c r="R137" s="17">
        <v>10000</v>
      </c>
      <c r="S137" s="17">
        <v>10000</v>
      </c>
      <c r="T137" s="57"/>
      <c r="V137" s="43"/>
    </row>
    <row r="138" spans="1:22" s="39" customFormat="1" ht="15" customHeight="1" outlineLevel="2" x14ac:dyDescent="0.25">
      <c r="A138" s="14">
        <v>0</v>
      </c>
      <c r="B138" s="14">
        <v>1381</v>
      </c>
      <c r="C138" s="205">
        <v>2094</v>
      </c>
      <c r="D138" s="14">
        <v>39814</v>
      </c>
      <c r="E138" s="14">
        <v>0</v>
      </c>
      <c r="F138" s="14">
        <v>0</v>
      </c>
      <c r="G138" s="14">
        <v>0</v>
      </c>
      <c r="H138" s="14">
        <v>0</v>
      </c>
      <c r="I138" s="13">
        <v>0</v>
      </c>
      <c r="J138" s="14" t="str">
        <f t="shared" si="21"/>
        <v>0/1381/2094/39814/0/0/0/0/0</v>
      </c>
      <c r="K138" s="21" t="s">
        <v>3785</v>
      </c>
      <c r="L138" s="22">
        <f>1595600.29</f>
        <v>1595600.29</v>
      </c>
      <c r="M138" s="22">
        <v>5372540.5</v>
      </c>
      <c r="N138" s="20">
        <v>1950619.19</v>
      </c>
      <c r="O138" s="17">
        <f>2468550.71+118.46</f>
        <v>2468669.17</v>
      </c>
      <c r="P138" s="17">
        <v>2765468.47</v>
      </c>
      <c r="Q138" s="17">
        <v>2000000</v>
      </c>
      <c r="R138" s="17">
        <v>2000000</v>
      </c>
      <c r="S138" s="17">
        <f>2000000*40%</f>
        <v>800000</v>
      </c>
      <c r="T138" s="57" t="s">
        <v>4655</v>
      </c>
      <c r="V138" s="43"/>
    </row>
    <row r="139" spans="1:22" s="39" customFormat="1" outlineLevel="2" x14ac:dyDescent="0.25">
      <c r="A139" s="237">
        <v>0</v>
      </c>
      <c r="B139" s="237">
        <v>1382</v>
      </c>
      <c r="C139" s="237">
        <v>2094</v>
      </c>
      <c r="D139" s="237">
        <v>33690</v>
      </c>
      <c r="E139" s="237">
        <v>0</v>
      </c>
      <c r="F139" s="237">
        <v>0</v>
      </c>
      <c r="G139" s="237">
        <v>0</v>
      </c>
      <c r="H139" s="237">
        <v>0</v>
      </c>
      <c r="I139" s="237">
        <v>0</v>
      </c>
      <c r="J139" s="14" t="s">
        <v>4530</v>
      </c>
      <c r="K139" s="238" t="s">
        <v>2967</v>
      </c>
      <c r="L139" s="22"/>
      <c r="M139" s="22"/>
      <c r="N139" s="20"/>
      <c r="O139" s="17"/>
      <c r="P139" s="17">
        <v>1987.3</v>
      </c>
      <c r="Q139" s="17"/>
      <c r="R139" s="17"/>
      <c r="S139" s="17"/>
      <c r="T139" s="57"/>
      <c r="V139" s="43"/>
    </row>
    <row r="140" spans="1:22" s="39" customFormat="1" outlineLevel="2" x14ac:dyDescent="0.25">
      <c r="A140" s="14">
        <v>0</v>
      </c>
      <c r="B140" s="14">
        <v>1385</v>
      </c>
      <c r="C140" s="205">
        <v>2094</v>
      </c>
      <c r="D140" s="14">
        <v>39822</v>
      </c>
      <c r="E140" s="14">
        <v>0</v>
      </c>
      <c r="F140" s="14">
        <v>0</v>
      </c>
      <c r="G140" s="14">
        <v>0</v>
      </c>
      <c r="H140" s="14">
        <v>0</v>
      </c>
      <c r="I140" s="13">
        <v>0</v>
      </c>
      <c r="J140" s="14" t="str">
        <f>CONCATENATE(A140,"/",B140,"/",C140,"/",D140,"/",E140,"/",F140,"/",G140,"/",H140,"/",I140)</f>
        <v>0/1385/2094/39822/0/0/0/0/0</v>
      </c>
      <c r="K140" s="21" t="s">
        <v>65</v>
      </c>
      <c r="L140" s="22">
        <v>17661975.109999999</v>
      </c>
      <c r="M140" s="22">
        <f>16906808.57+8574.92+3087.01</f>
        <v>16918470.500000004</v>
      </c>
      <c r="N140" s="20">
        <v>18847887.73</v>
      </c>
      <c r="O140" s="17">
        <v>14022914.029999999</v>
      </c>
      <c r="P140" s="17">
        <v>30862880.100000001</v>
      </c>
      <c r="Q140" s="17">
        <v>20000000</v>
      </c>
      <c r="R140" s="17">
        <v>20000000</v>
      </c>
      <c r="S140" s="17">
        <f>20000000*40%</f>
        <v>8000000</v>
      </c>
      <c r="T140" s="57" t="s">
        <v>4655</v>
      </c>
      <c r="V140" s="43"/>
    </row>
    <row r="141" spans="1:22" s="39" customFormat="1" outlineLevel="2" x14ac:dyDescent="0.25">
      <c r="A141" s="14">
        <v>6171</v>
      </c>
      <c r="B141" s="14">
        <v>2324</v>
      </c>
      <c r="C141" s="205">
        <v>2094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3">
        <v>0</v>
      </c>
      <c r="J141" s="14" t="str">
        <f>CONCATENATE(A141,"/",B141,"/",C141,"/",D141,"/",E141,"/",F141,"/",G141,"/",H141,"/",I141)</f>
        <v>6171/2324/2094/0/0/0/0/0/0</v>
      </c>
      <c r="K141" s="21" t="s">
        <v>863</v>
      </c>
      <c r="L141" s="22"/>
      <c r="M141" s="22"/>
      <c r="N141" s="20">
        <v>2100</v>
      </c>
      <c r="O141" s="17">
        <v>5100</v>
      </c>
      <c r="P141" s="17">
        <v>8900</v>
      </c>
      <c r="Q141" s="17"/>
      <c r="R141" s="17"/>
      <c r="S141" s="17"/>
      <c r="T141" s="57"/>
      <c r="V141" s="43"/>
    </row>
    <row r="142" spans="1:22" s="39" customFormat="1" outlineLevel="1" x14ac:dyDescent="0.25">
      <c r="A142" s="409"/>
      <c r="B142" s="409"/>
      <c r="C142" s="418" t="s">
        <v>4669</v>
      </c>
      <c r="D142" s="409"/>
      <c r="E142" s="409"/>
      <c r="F142" s="409"/>
      <c r="G142" s="409"/>
      <c r="H142" s="409"/>
      <c r="I142" s="409"/>
      <c r="J142" s="14"/>
      <c r="K142" s="411"/>
      <c r="L142" s="412">
        <f t="shared" ref="L142:S142" si="22">SUBTOTAL(9,L131:L141)</f>
        <v>34992332.980000004</v>
      </c>
      <c r="M142" s="412">
        <f t="shared" si="22"/>
        <v>37810172.650000006</v>
      </c>
      <c r="N142" s="413">
        <f t="shared" si="22"/>
        <v>35815900.539999999</v>
      </c>
      <c r="O142" s="414">
        <f t="shared" si="22"/>
        <v>31998199.119999997</v>
      </c>
      <c r="P142" s="414">
        <f t="shared" si="22"/>
        <v>51906907.140000001</v>
      </c>
      <c r="Q142" s="414">
        <f t="shared" si="22"/>
        <v>38498000</v>
      </c>
      <c r="R142" s="414">
        <f t="shared" si="22"/>
        <v>38498000</v>
      </c>
      <c r="S142" s="414">
        <f t="shared" si="22"/>
        <v>32096000</v>
      </c>
      <c r="T142" s="423"/>
      <c r="V142" s="43"/>
    </row>
    <row r="143" spans="1:22" s="39" customFormat="1" ht="30" outlineLevel="2" x14ac:dyDescent="0.25">
      <c r="A143" s="14">
        <v>0</v>
      </c>
      <c r="B143" s="14">
        <v>2212</v>
      </c>
      <c r="C143" s="205">
        <v>2100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3">
        <v>0</v>
      </c>
      <c r="J143" s="14" t="str">
        <f>CONCATENATE(A143,"/",B143,"/",C143,"/",D143,"/",E143,"/",F143,"/",G143,"/",H143,"/",I143)</f>
        <v>0/2212/2100/0/0/0/0/0/0</v>
      </c>
      <c r="K143" s="21" t="s">
        <v>3794</v>
      </c>
      <c r="L143" s="22">
        <v>726636.49</v>
      </c>
      <c r="M143" s="22">
        <v>763251.06</v>
      </c>
      <c r="N143" s="20">
        <f>317604.32+9103</f>
        <v>326707.32</v>
      </c>
      <c r="O143" s="17">
        <v>322007.88</v>
      </c>
      <c r="P143" s="17">
        <v>332013.98</v>
      </c>
      <c r="Q143" s="17"/>
      <c r="R143" s="17">
        <v>111656.89</v>
      </c>
      <c r="S143" s="17">
        <v>0</v>
      </c>
      <c r="T143" s="57"/>
      <c r="V143" s="43"/>
    </row>
    <row r="144" spans="1:22" s="39" customFormat="1" outlineLevel="1" x14ac:dyDescent="0.25">
      <c r="A144" s="409"/>
      <c r="B144" s="409"/>
      <c r="C144" s="418" t="s">
        <v>4670</v>
      </c>
      <c r="D144" s="409"/>
      <c r="E144" s="409"/>
      <c r="F144" s="409"/>
      <c r="G144" s="409"/>
      <c r="H144" s="409"/>
      <c r="I144" s="409"/>
      <c r="J144" s="14"/>
      <c r="K144" s="411"/>
      <c r="L144" s="412">
        <f t="shared" ref="L144:S144" si="23">SUBTOTAL(9,L143:L143)</f>
        <v>726636.49</v>
      </c>
      <c r="M144" s="412">
        <f t="shared" si="23"/>
        <v>763251.06</v>
      </c>
      <c r="N144" s="413">
        <f t="shared" si="23"/>
        <v>326707.32</v>
      </c>
      <c r="O144" s="414">
        <f t="shared" si="23"/>
        <v>322007.88</v>
      </c>
      <c r="P144" s="414">
        <f t="shared" si="23"/>
        <v>332013.98</v>
      </c>
      <c r="Q144" s="414">
        <f t="shared" si="23"/>
        <v>0</v>
      </c>
      <c r="R144" s="414">
        <f t="shared" si="23"/>
        <v>111656.89</v>
      </c>
      <c r="S144" s="414">
        <f t="shared" si="23"/>
        <v>0</v>
      </c>
      <c r="T144" s="415"/>
      <c r="V144" s="43"/>
    </row>
    <row r="145" spans="1:22" s="39" customFormat="1" outlineLevel="2" x14ac:dyDescent="0.25">
      <c r="A145" s="14">
        <v>0</v>
      </c>
      <c r="B145" s="14">
        <v>2420</v>
      </c>
      <c r="C145" s="205">
        <v>2200</v>
      </c>
      <c r="D145" s="14">
        <v>43010</v>
      </c>
      <c r="E145" s="14">
        <v>0</v>
      </c>
      <c r="F145" s="14">
        <v>0</v>
      </c>
      <c r="G145" s="14">
        <v>0</v>
      </c>
      <c r="H145" s="14">
        <v>0</v>
      </c>
      <c r="I145" s="13">
        <v>0</v>
      </c>
      <c r="J145" s="14" t="str">
        <f>CONCATENATE(A145,"/",B145,"/",C145,"/",D145,"/",E145,"/",F145,"/",G145,"/",H145,"/",I145)</f>
        <v>0/2420/2200/43010/0/0/0/0/0</v>
      </c>
      <c r="K145" s="21" t="s">
        <v>73</v>
      </c>
      <c r="L145" s="22">
        <v>127998</v>
      </c>
      <c r="M145" s="22">
        <v>129282</v>
      </c>
      <c r="N145" s="20">
        <v>130581</v>
      </c>
      <c r="O145" s="17">
        <v>0</v>
      </c>
      <c r="P145" s="17">
        <v>131894</v>
      </c>
      <c r="Q145" s="17">
        <v>133219</v>
      </c>
      <c r="R145" s="17">
        <v>133219</v>
      </c>
      <c r="S145" s="17">
        <v>134557</v>
      </c>
      <c r="T145" s="57" t="s">
        <v>4686</v>
      </c>
      <c r="V145" s="43"/>
    </row>
    <row r="146" spans="1:22" s="39" customFormat="1" outlineLevel="2" x14ac:dyDescent="0.25">
      <c r="A146" s="13">
        <v>3111</v>
      </c>
      <c r="B146" s="13">
        <v>2321</v>
      </c>
      <c r="C146" s="13">
        <v>2200</v>
      </c>
      <c r="D146" s="13">
        <v>52701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4" t="str">
        <f>CONCATENATE(A146,"/",B146,"/",C146,"/",D146,"/",E146,"/",F146,"/",G146,"/",H146,"/",I146)</f>
        <v>3111/2321/2200/52701/0/0/0/0/0</v>
      </c>
      <c r="K146" s="15" t="s">
        <v>4368</v>
      </c>
      <c r="L146" s="22"/>
      <c r="M146" s="22"/>
      <c r="N146" s="20"/>
      <c r="O146" s="17">
        <v>0</v>
      </c>
      <c r="P146" s="17">
        <v>450000</v>
      </c>
      <c r="Q146" s="17"/>
      <c r="R146" s="17"/>
      <c r="S146" s="17"/>
      <c r="T146" s="57"/>
      <c r="V146" s="43"/>
    </row>
    <row r="147" spans="1:22" s="39" customFormat="1" outlineLevel="2" x14ac:dyDescent="0.25">
      <c r="A147" s="14">
        <v>3419</v>
      </c>
      <c r="B147" s="14">
        <v>2141</v>
      </c>
      <c r="C147" s="205">
        <v>2200</v>
      </c>
      <c r="D147" s="14">
        <v>43010</v>
      </c>
      <c r="E147" s="14">
        <v>0</v>
      </c>
      <c r="F147" s="14">
        <v>0</v>
      </c>
      <c r="G147" s="14">
        <v>0</v>
      </c>
      <c r="H147" s="14">
        <v>0</v>
      </c>
      <c r="I147" s="13">
        <v>0</v>
      </c>
      <c r="J147" s="14" t="str">
        <f>CONCATENATE(A147,"/",B147,"/",C147,"/",D147,"/",E147,"/",F147,"/",G147,"/",H147,"/",I147)</f>
        <v>3419/2141/2200/43010/0/0/0/0/0</v>
      </c>
      <c r="K147" s="21" t="s">
        <v>72</v>
      </c>
      <c r="L147" s="22">
        <v>16002</v>
      </c>
      <c r="M147" s="22">
        <v>14718</v>
      </c>
      <c r="N147" s="20">
        <v>13419</v>
      </c>
      <c r="O147" s="17">
        <v>0</v>
      </c>
      <c r="P147" s="17">
        <v>12106</v>
      </c>
      <c r="Q147" s="17">
        <v>10781</v>
      </c>
      <c r="R147" s="17">
        <v>10781</v>
      </c>
      <c r="S147" s="17">
        <v>9443</v>
      </c>
      <c r="T147" s="166" t="s">
        <v>4686</v>
      </c>
      <c r="V147" s="43"/>
    </row>
    <row r="148" spans="1:22" s="39" customFormat="1" outlineLevel="2" x14ac:dyDescent="0.25">
      <c r="A148" s="13">
        <v>3634</v>
      </c>
      <c r="B148" s="13">
        <v>2142</v>
      </c>
      <c r="C148" s="13">
        <v>2200</v>
      </c>
      <c r="D148" s="13">
        <v>53320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4" t="str">
        <f>CONCATENATE(A148,"/",B148,"/",C148,"/",D148,"/",E148,"/",F148,"/",G148,"/",H148,"/",I148)</f>
        <v>3634/2142/2200/53320/0/0/0/0/0</v>
      </c>
      <c r="K148" s="15" t="s">
        <v>4369</v>
      </c>
      <c r="L148" s="22"/>
      <c r="M148" s="22"/>
      <c r="N148" s="20"/>
      <c r="O148" s="17">
        <v>0</v>
      </c>
      <c r="P148" s="17">
        <v>3000000</v>
      </c>
      <c r="Q148" s="17"/>
      <c r="R148" s="17"/>
      <c r="S148" s="17"/>
      <c r="T148" s="166"/>
      <c r="V148" s="43"/>
    </row>
    <row r="149" spans="1:22" s="39" customFormat="1" ht="30" outlineLevel="2" x14ac:dyDescent="0.25">
      <c r="A149" s="14">
        <v>6171</v>
      </c>
      <c r="B149" s="14">
        <v>2324</v>
      </c>
      <c r="C149" s="205">
        <v>2200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3">
        <v>0</v>
      </c>
      <c r="J149" s="14" t="str">
        <f>CONCATENATE(A149,"/",B149,"/",C149,"/",D149,"/",E149,"/",F149,"/",G149,"/",H149,"/",I149)</f>
        <v>6171/2324/2200/0/0/0/0/0/0</v>
      </c>
      <c r="K149" s="21" t="s">
        <v>3795</v>
      </c>
      <c r="L149" s="22">
        <f>80805+174709.55</f>
        <v>255514.55</v>
      </c>
      <c r="M149" s="22">
        <v>87500</v>
      </c>
      <c r="N149" s="20">
        <v>85310</v>
      </c>
      <c r="O149" s="17">
        <v>0</v>
      </c>
      <c r="P149" s="17">
        <v>11000</v>
      </c>
      <c r="Q149" s="17"/>
      <c r="R149" s="17"/>
      <c r="S149" s="17"/>
      <c r="T149" s="57"/>
      <c r="V149" s="43"/>
    </row>
    <row r="150" spans="1:22" s="39" customFormat="1" outlineLevel="1" x14ac:dyDescent="0.25">
      <c r="A150" s="409"/>
      <c r="B150" s="409"/>
      <c r="C150" s="418" t="s">
        <v>4671</v>
      </c>
      <c r="D150" s="409"/>
      <c r="E150" s="409"/>
      <c r="F150" s="409"/>
      <c r="G150" s="409"/>
      <c r="H150" s="409"/>
      <c r="I150" s="409"/>
      <c r="J150" s="14"/>
      <c r="K150" s="411"/>
      <c r="L150" s="412">
        <f t="shared" ref="L150:S150" si="24">SUBTOTAL(9,L145:L149)</f>
        <v>399514.55</v>
      </c>
      <c r="M150" s="412">
        <f t="shared" si="24"/>
        <v>231500</v>
      </c>
      <c r="N150" s="413">
        <f t="shared" si="24"/>
        <v>229310</v>
      </c>
      <c r="O150" s="414">
        <f t="shared" si="24"/>
        <v>0</v>
      </c>
      <c r="P150" s="414">
        <f t="shared" si="24"/>
        <v>3605000</v>
      </c>
      <c r="Q150" s="414">
        <f t="shared" si="24"/>
        <v>144000</v>
      </c>
      <c r="R150" s="414">
        <f t="shared" si="24"/>
        <v>144000</v>
      </c>
      <c r="S150" s="414">
        <f t="shared" si="24"/>
        <v>144000</v>
      </c>
      <c r="T150" s="415"/>
      <c r="V150" s="43"/>
    </row>
    <row r="151" spans="1:22" s="39" customFormat="1" outlineLevel="2" x14ac:dyDescent="0.25">
      <c r="A151" s="14">
        <v>0</v>
      </c>
      <c r="B151" s="14">
        <v>1353</v>
      </c>
      <c r="C151" s="205">
        <v>2300</v>
      </c>
      <c r="D151" s="14">
        <v>31212</v>
      </c>
      <c r="E151" s="14">
        <v>0</v>
      </c>
      <c r="F151" s="14">
        <v>0</v>
      </c>
      <c r="G151" s="14">
        <v>0</v>
      </c>
      <c r="H151" s="14">
        <v>0</v>
      </c>
      <c r="I151" s="13">
        <v>0</v>
      </c>
      <c r="J151" s="14" t="str">
        <f t="shared" ref="J151:J158" si="25">CONCATENATE(A151,"/",B151,"/",C151,"/",D151,"/",E151,"/",F151,"/",G151,"/",H151,"/",I151)</f>
        <v>0/1353/2300/31212/0/0/0/0/0</v>
      </c>
      <c r="K151" s="21" t="s">
        <v>79</v>
      </c>
      <c r="L151" s="22">
        <v>1314600</v>
      </c>
      <c r="M151" s="22">
        <v>1167400</v>
      </c>
      <c r="N151" s="20">
        <v>1050300</v>
      </c>
      <c r="O151" s="17">
        <v>1500300</v>
      </c>
      <c r="P151" s="17">
        <v>1374750</v>
      </c>
      <c r="Q151" s="17">
        <v>1400000</v>
      </c>
      <c r="R151" s="17">
        <v>1400000</v>
      </c>
      <c r="S151" s="17">
        <v>1400000</v>
      </c>
      <c r="T151" s="57"/>
      <c r="V151" s="43"/>
    </row>
    <row r="152" spans="1:22" s="39" customFormat="1" outlineLevel="2" x14ac:dyDescent="0.25">
      <c r="A152" s="14">
        <v>0</v>
      </c>
      <c r="B152" s="14">
        <v>1359</v>
      </c>
      <c r="C152" s="205">
        <v>2300</v>
      </c>
      <c r="D152" s="14">
        <v>31213</v>
      </c>
      <c r="E152" s="14">
        <v>0</v>
      </c>
      <c r="F152" s="14">
        <v>0</v>
      </c>
      <c r="G152" s="14">
        <v>0</v>
      </c>
      <c r="H152" s="14">
        <v>0</v>
      </c>
      <c r="I152" s="13">
        <v>0</v>
      </c>
      <c r="J152" s="14" t="str">
        <f t="shared" si="25"/>
        <v>0/1359/2300/31213/0/0/0/0/0</v>
      </c>
      <c r="K152" s="21" t="s">
        <v>81</v>
      </c>
      <c r="L152" s="22">
        <v>-65000</v>
      </c>
      <c r="M152" s="22">
        <v>19000</v>
      </c>
      <c r="N152" s="20">
        <v>-25000</v>
      </c>
      <c r="O152" s="17">
        <v>-11000</v>
      </c>
      <c r="P152" s="17">
        <v>-14000</v>
      </c>
      <c r="Q152" s="17"/>
      <c r="R152" s="17"/>
      <c r="S152" s="17">
        <v>200000</v>
      </c>
      <c r="T152" s="57"/>
      <c r="V152" s="43"/>
    </row>
    <row r="153" spans="1:22" s="39" customFormat="1" outlineLevel="2" x14ac:dyDescent="0.25">
      <c r="A153" s="14">
        <v>0</v>
      </c>
      <c r="B153" s="14">
        <v>1361</v>
      </c>
      <c r="C153" s="205">
        <v>2300</v>
      </c>
      <c r="D153" s="14">
        <v>31206</v>
      </c>
      <c r="E153" s="14">
        <v>0</v>
      </c>
      <c r="F153" s="14">
        <v>0</v>
      </c>
      <c r="G153" s="14">
        <v>0</v>
      </c>
      <c r="H153" s="14">
        <v>0</v>
      </c>
      <c r="I153" s="13">
        <v>0</v>
      </c>
      <c r="J153" s="14" t="str">
        <f t="shared" si="25"/>
        <v>0/1361/2300/31206/0/0/0/0/0</v>
      </c>
      <c r="K153" s="21" t="s">
        <v>74</v>
      </c>
      <c r="L153" s="22">
        <v>16850</v>
      </c>
      <c r="M153" s="22">
        <v>14500</v>
      </c>
      <c r="N153" s="20">
        <v>31000</v>
      </c>
      <c r="O153" s="17">
        <v>20050</v>
      </c>
      <c r="P153" s="17">
        <v>25500</v>
      </c>
      <c r="Q153" s="17">
        <v>20000</v>
      </c>
      <c r="R153" s="17">
        <v>20000</v>
      </c>
      <c r="S153" s="17">
        <v>25000</v>
      </c>
      <c r="T153" s="57"/>
      <c r="V153" s="43"/>
    </row>
    <row r="154" spans="1:22" s="39" customFormat="1" outlineLevel="2" x14ac:dyDescent="0.25">
      <c r="A154" s="14">
        <v>0</v>
      </c>
      <c r="B154" s="14">
        <v>1361</v>
      </c>
      <c r="C154" s="205">
        <v>2300</v>
      </c>
      <c r="D154" s="14">
        <v>31207</v>
      </c>
      <c r="E154" s="14">
        <v>0</v>
      </c>
      <c r="F154" s="14">
        <v>0</v>
      </c>
      <c r="G154" s="14">
        <v>0</v>
      </c>
      <c r="H154" s="14">
        <v>0</v>
      </c>
      <c r="I154" s="13">
        <v>0</v>
      </c>
      <c r="J154" s="14" t="str">
        <f t="shared" si="25"/>
        <v>0/1361/2300/31207/0/0/0/0/0</v>
      </c>
      <c r="K154" s="21" t="s">
        <v>75</v>
      </c>
      <c r="L154" s="22">
        <v>16500</v>
      </c>
      <c r="M154" s="22">
        <v>14500</v>
      </c>
      <c r="N154" s="20">
        <v>16000</v>
      </c>
      <c r="O154" s="17">
        <v>25000</v>
      </c>
      <c r="P154" s="17">
        <v>18000</v>
      </c>
      <c r="Q154" s="17">
        <v>13000</v>
      </c>
      <c r="R154" s="17">
        <v>13000</v>
      </c>
      <c r="S154" s="17">
        <v>13000</v>
      </c>
      <c r="T154" s="269"/>
      <c r="V154" s="43"/>
    </row>
    <row r="155" spans="1:22" s="39" customFormat="1" outlineLevel="2" x14ac:dyDescent="0.25">
      <c r="A155" s="14">
        <v>0</v>
      </c>
      <c r="B155" s="14">
        <v>1361</v>
      </c>
      <c r="C155" s="205">
        <v>2300</v>
      </c>
      <c r="D155" s="14">
        <v>31210</v>
      </c>
      <c r="E155" s="14">
        <v>0</v>
      </c>
      <c r="F155" s="14">
        <v>0</v>
      </c>
      <c r="G155" s="14">
        <v>0</v>
      </c>
      <c r="H155" s="14">
        <v>0</v>
      </c>
      <c r="I155" s="13">
        <v>0</v>
      </c>
      <c r="J155" s="14" t="str">
        <f t="shared" si="25"/>
        <v>0/1361/2300/31210/0/0/0/0/0</v>
      </c>
      <c r="K155" s="21" t="s">
        <v>76</v>
      </c>
      <c r="L155" s="22">
        <v>896395</v>
      </c>
      <c r="M155" s="22">
        <v>499700</v>
      </c>
      <c r="N155" s="20">
        <v>411941</v>
      </c>
      <c r="O155" s="17">
        <v>501535</v>
      </c>
      <c r="P155" s="17">
        <v>523520</v>
      </c>
      <c r="Q155" s="17">
        <v>500000</v>
      </c>
      <c r="R155" s="17">
        <v>500000</v>
      </c>
      <c r="S155" s="17">
        <v>1000000</v>
      </c>
      <c r="T155" s="57"/>
      <c r="V155" s="43"/>
    </row>
    <row r="156" spans="1:22" s="59" customFormat="1" outlineLevel="2" x14ac:dyDescent="0.25">
      <c r="A156" s="14">
        <v>0</v>
      </c>
      <c r="B156" s="14">
        <v>1361</v>
      </c>
      <c r="C156" s="205">
        <v>2300</v>
      </c>
      <c r="D156" s="14">
        <v>31211</v>
      </c>
      <c r="E156" s="14">
        <v>0</v>
      </c>
      <c r="F156" s="14">
        <v>0</v>
      </c>
      <c r="G156" s="14">
        <v>0</v>
      </c>
      <c r="H156" s="14">
        <v>0</v>
      </c>
      <c r="I156" s="13">
        <v>0</v>
      </c>
      <c r="J156" s="14" t="str">
        <f t="shared" si="25"/>
        <v>0/1361/2300/31211/0/0/0/0/0</v>
      </c>
      <c r="K156" s="21" t="s">
        <v>77</v>
      </c>
      <c r="L156" s="22">
        <v>6799950</v>
      </c>
      <c r="M156" s="22">
        <v>5806700</v>
      </c>
      <c r="N156" s="20">
        <v>6058885</v>
      </c>
      <c r="O156" s="17">
        <v>5501220</v>
      </c>
      <c r="P156" s="17">
        <v>3416300</v>
      </c>
      <c r="Q156" s="17">
        <v>3500000</v>
      </c>
      <c r="R156" s="17">
        <v>3500000</v>
      </c>
      <c r="S156" s="17">
        <v>3500000</v>
      </c>
      <c r="T156" s="58"/>
      <c r="V156" s="557"/>
    </row>
    <row r="157" spans="1:22" s="59" customFormat="1" outlineLevel="2" x14ac:dyDescent="0.25">
      <c r="A157" s="14">
        <v>0</v>
      </c>
      <c r="B157" s="14">
        <v>1361</v>
      </c>
      <c r="C157" s="205">
        <v>2300</v>
      </c>
      <c r="D157" s="14">
        <v>31201</v>
      </c>
      <c r="E157" s="14">
        <v>0</v>
      </c>
      <c r="F157" s="14">
        <v>0</v>
      </c>
      <c r="G157" s="14">
        <v>0</v>
      </c>
      <c r="H157" s="14">
        <v>0</v>
      </c>
      <c r="I157" s="13">
        <v>0</v>
      </c>
      <c r="J157" s="14" t="str">
        <f t="shared" si="25"/>
        <v>0/1361/2300/31201/0/0/0/0/0</v>
      </c>
      <c r="K157" s="21" t="s">
        <v>78</v>
      </c>
      <c r="L157" s="22">
        <v>32500</v>
      </c>
      <c r="M157" s="22">
        <v>52000</v>
      </c>
      <c r="N157" s="20">
        <v>23500</v>
      </c>
      <c r="O157" s="17">
        <v>44500</v>
      </c>
      <c r="P157" s="17">
        <v>42500</v>
      </c>
      <c r="Q157" s="17">
        <v>20000</v>
      </c>
      <c r="R157" s="17">
        <v>20000</v>
      </c>
      <c r="S157" s="17">
        <v>0</v>
      </c>
      <c r="T157" s="321" t="s">
        <v>4644</v>
      </c>
      <c r="V157" s="557"/>
    </row>
    <row r="158" spans="1:22" s="59" customFormat="1" outlineLevel="2" x14ac:dyDescent="0.25">
      <c r="A158" s="14">
        <v>0</v>
      </c>
      <c r="B158" s="14">
        <v>1361</v>
      </c>
      <c r="C158" s="205">
        <v>2300</v>
      </c>
      <c r="D158" s="14">
        <v>31203</v>
      </c>
      <c r="E158" s="14">
        <v>0</v>
      </c>
      <c r="F158" s="14">
        <v>0</v>
      </c>
      <c r="G158" s="14">
        <v>0</v>
      </c>
      <c r="H158" s="14">
        <v>0</v>
      </c>
      <c r="I158" s="13">
        <v>0</v>
      </c>
      <c r="J158" s="14" t="str">
        <f t="shared" si="25"/>
        <v>0/1361/2300/31203/0/0/0/0/0</v>
      </c>
      <c r="K158" s="21" t="s">
        <v>80</v>
      </c>
      <c r="L158" s="22">
        <v>121800</v>
      </c>
      <c r="M158" s="22">
        <v>126400</v>
      </c>
      <c r="N158" s="20">
        <f>107800+1500+6000</f>
        <v>115300</v>
      </c>
      <c r="O158" s="17">
        <f>108700+2000+1500+4000</f>
        <v>116200</v>
      </c>
      <c r="P158" s="17">
        <v>116400</v>
      </c>
      <c r="Q158" s="17">
        <v>120000</v>
      </c>
      <c r="R158" s="17">
        <v>120000</v>
      </c>
      <c r="S158" s="17">
        <v>80000</v>
      </c>
      <c r="T158" s="57"/>
      <c r="V158" s="557"/>
    </row>
    <row r="159" spans="1:22" s="59" customFormat="1" outlineLevel="2" x14ac:dyDescent="0.25">
      <c r="A159" s="237">
        <v>0</v>
      </c>
      <c r="B159" s="237">
        <v>1361</v>
      </c>
      <c r="C159" s="237">
        <v>2300</v>
      </c>
      <c r="D159" s="237">
        <v>31214</v>
      </c>
      <c r="E159" s="237">
        <v>0</v>
      </c>
      <c r="F159" s="237">
        <v>0</v>
      </c>
      <c r="G159" s="237">
        <v>0</v>
      </c>
      <c r="H159" s="237">
        <v>0</v>
      </c>
      <c r="I159" s="237">
        <v>0</v>
      </c>
      <c r="J159" s="14" t="s">
        <v>4529</v>
      </c>
      <c r="K159" s="238" t="s">
        <v>3645</v>
      </c>
      <c r="L159" s="22"/>
      <c r="M159" s="22"/>
      <c r="N159" s="20"/>
      <c r="O159" s="17"/>
      <c r="P159" s="17">
        <v>200</v>
      </c>
      <c r="Q159" s="17"/>
      <c r="R159" s="17"/>
      <c r="S159" s="17"/>
      <c r="T159" s="57"/>
      <c r="V159" s="557"/>
    </row>
    <row r="160" spans="1:22" s="59" customFormat="1" outlineLevel="2" x14ac:dyDescent="0.25">
      <c r="A160" s="14">
        <v>0</v>
      </c>
      <c r="B160" s="189">
        <v>2212</v>
      </c>
      <c r="C160" s="205">
        <v>2300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3">
        <v>0</v>
      </c>
      <c r="J160" s="14" t="str">
        <f>CONCATENATE(A160,"/",B160,"/",C160,"/",D160,"/",E160,"/",F160,"/",G160,"/",H160,"/",I160)</f>
        <v>0/2212/2300/0/0/0/0/0/0</v>
      </c>
      <c r="K160" s="21" t="s">
        <v>15</v>
      </c>
      <c r="L160" s="22">
        <f>2672818.78+74820.71</f>
        <v>2747639.4899999998</v>
      </c>
      <c r="M160" s="22">
        <f>6872405.98+65752</f>
        <v>6938157.9800000004</v>
      </c>
      <c r="N160" s="20">
        <v>12669928.310000001</v>
      </c>
      <c r="O160" s="17">
        <v>19321598.399999999</v>
      </c>
      <c r="P160" s="17">
        <v>18103113.890000001</v>
      </c>
      <c r="Q160" s="22"/>
      <c r="R160" s="22">
        <v>5880483.1900000004</v>
      </c>
      <c r="S160" s="22">
        <v>0</v>
      </c>
      <c r="T160" s="57"/>
      <c r="V160" s="557"/>
    </row>
    <row r="161" spans="1:22" s="59" customFormat="1" outlineLevel="1" x14ac:dyDescent="0.25">
      <c r="A161" s="409"/>
      <c r="B161" s="426"/>
      <c r="C161" s="418" t="s">
        <v>4672</v>
      </c>
      <c r="D161" s="409"/>
      <c r="E161" s="409"/>
      <c r="F161" s="409"/>
      <c r="G161" s="409"/>
      <c r="H161" s="409"/>
      <c r="I161" s="409"/>
      <c r="J161" s="14"/>
      <c r="K161" s="411"/>
      <c r="L161" s="412">
        <f t="shared" ref="L161:S161" si="26">SUBTOTAL(9,L151:L160)</f>
        <v>11881234.49</v>
      </c>
      <c r="M161" s="412">
        <f t="shared" si="26"/>
        <v>14638357.98</v>
      </c>
      <c r="N161" s="413">
        <f t="shared" si="26"/>
        <v>20351854.310000002</v>
      </c>
      <c r="O161" s="414">
        <f t="shared" si="26"/>
        <v>27019403.399999999</v>
      </c>
      <c r="P161" s="414">
        <f t="shared" si="26"/>
        <v>23606283.890000001</v>
      </c>
      <c r="Q161" s="412">
        <f t="shared" si="26"/>
        <v>5573000</v>
      </c>
      <c r="R161" s="412">
        <f t="shared" si="26"/>
        <v>11453483.190000001</v>
      </c>
      <c r="S161" s="412">
        <f t="shared" si="26"/>
        <v>6218000</v>
      </c>
      <c r="T161" s="415"/>
      <c r="V161" s="557"/>
    </row>
    <row r="162" spans="1:22" s="59" customFormat="1" outlineLevel="2" x14ac:dyDescent="0.25">
      <c r="A162" s="14">
        <v>0</v>
      </c>
      <c r="B162" s="14">
        <v>2111</v>
      </c>
      <c r="C162" s="205">
        <v>2490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3">
        <v>0</v>
      </c>
      <c r="J162" s="14" t="str">
        <f>CONCATENATE(A162,"/",B162,"/",C162,"/",D162,"/",E162,"/",F162,"/",G162,"/",H162,"/",I162)</f>
        <v>0/2111/2490/0/0/0/0/0/0</v>
      </c>
      <c r="K162" s="21" t="s">
        <v>101</v>
      </c>
      <c r="L162" s="22">
        <v>3212400.9299999997</v>
      </c>
      <c r="M162" s="22">
        <v>55968.01</v>
      </c>
      <c r="N162" s="20">
        <f>20000+18748.09</f>
        <v>38748.089999999997</v>
      </c>
      <c r="O162" s="17">
        <v>477138.49</v>
      </c>
      <c r="P162" s="17">
        <v>18450</v>
      </c>
      <c r="Q162" s="17"/>
      <c r="R162" s="17"/>
      <c r="S162" s="17"/>
      <c r="T162" s="166"/>
      <c r="V162" s="557"/>
    </row>
    <row r="163" spans="1:22" s="59" customFormat="1" outlineLevel="1" x14ac:dyDescent="0.25">
      <c r="A163" s="409"/>
      <c r="B163" s="409"/>
      <c r="C163" s="418" t="s">
        <v>4673</v>
      </c>
      <c r="D163" s="409"/>
      <c r="E163" s="409"/>
      <c r="F163" s="409"/>
      <c r="G163" s="409"/>
      <c r="H163" s="409"/>
      <c r="I163" s="409"/>
      <c r="J163" s="14"/>
      <c r="K163" s="411"/>
      <c r="L163" s="412">
        <f t="shared" ref="L163:S163" si="27">SUBTOTAL(9,L162:L162)</f>
        <v>3212400.9299999997</v>
      </c>
      <c r="M163" s="412">
        <f t="shared" si="27"/>
        <v>55968.01</v>
      </c>
      <c r="N163" s="413">
        <f t="shared" si="27"/>
        <v>38748.089999999997</v>
      </c>
      <c r="O163" s="414">
        <f t="shared" si="27"/>
        <v>477138.49</v>
      </c>
      <c r="P163" s="414">
        <f t="shared" si="27"/>
        <v>18450</v>
      </c>
      <c r="Q163" s="414">
        <f t="shared" si="27"/>
        <v>0</v>
      </c>
      <c r="R163" s="414">
        <f t="shared" si="27"/>
        <v>0</v>
      </c>
      <c r="S163" s="414">
        <f t="shared" si="27"/>
        <v>0</v>
      </c>
      <c r="T163" s="423"/>
      <c r="V163" s="557"/>
    </row>
    <row r="164" spans="1:22" s="59" customFormat="1" outlineLevel="2" x14ac:dyDescent="0.25">
      <c r="A164" s="14">
        <v>0</v>
      </c>
      <c r="B164" s="14">
        <v>1356</v>
      </c>
      <c r="C164" s="205">
        <v>2500</v>
      </c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3">
        <v>0</v>
      </c>
      <c r="J164" s="14" t="str">
        <f t="shared" ref="J164:J173" si="28">CONCATENATE(A164,"/",B164,"/",C164,"/",D164,"/",E164,"/",F164,"/",G164,"/",H164,"/",I164)</f>
        <v>0/1356/2500/0/0/0/0/0/0</v>
      </c>
      <c r="K164" s="21" t="s">
        <v>105</v>
      </c>
      <c r="L164" s="22">
        <v>28574.2</v>
      </c>
      <c r="M164" s="22">
        <v>28463.18</v>
      </c>
      <c r="N164" s="20">
        <v>28463.18</v>
      </c>
      <c r="O164" s="17">
        <v>28463.18</v>
      </c>
      <c r="P164" s="17">
        <v>28463.18</v>
      </c>
      <c r="Q164" s="17"/>
      <c r="R164" s="17"/>
      <c r="S164" s="17"/>
      <c r="T164" s="57"/>
      <c r="V164" s="557"/>
    </row>
    <row r="165" spans="1:22" s="59" customFormat="1" outlineLevel="2" x14ac:dyDescent="0.25">
      <c r="A165" s="14">
        <v>0</v>
      </c>
      <c r="B165" s="14">
        <v>1361</v>
      </c>
      <c r="C165" s="18">
        <v>2500</v>
      </c>
      <c r="D165" s="14">
        <v>31103</v>
      </c>
      <c r="E165" s="14">
        <v>0</v>
      </c>
      <c r="F165" s="14">
        <v>0</v>
      </c>
      <c r="G165" s="14">
        <v>0</v>
      </c>
      <c r="H165" s="14">
        <v>0</v>
      </c>
      <c r="I165" s="13">
        <v>0</v>
      </c>
      <c r="J165" s="14" t="str">
        <f t="shared" si="28"/>
        <v>0/1361/2500/31103/0/0/0/0/0</v>
      </c>
      <c r="K165" s="21" t="s">
        <v>102</v>
      </c>
      <c r="L165" s="22">
        <v>3000</v>
      </c>
      <c r="M165" s="22">
        <v>3500</v>
      </c>
      <c r="N165" s="20">
        <v>1500</v>
      </c>
      <c r="O165" s="17">
        <v>1500</v>
      </c>
      <c r="P165" s="17">
        <v>1500</v>
      </c>
      <c r="Q165" s="17">
        <v>1000</v>
      </c>
      <c r="R165" s="17">
        <v>1000</v>
      </c>
      <c r="S165" s="17">
        <v>1000</v>
      </c>
      <c r="T165" s="57"/>
      <c r="V165" s="557"/>
    </row>
    <row r="166" spans="1:22" s="59" customFormat="1" outlineLevel="2" x14ac:dyDescent="0.25">
      <c r="A166" s="14">
        <v>0</v>
      </c>
      <c r="B166" s="14">
        <v>1361</v>
      </c>
      <c r="C166" s="18">
        <v>2500</v>
      </c>
      <c r="D166" s="14">
        <v>31102</v>
      </c>
      <c r="E166" s="14">
        <v>0</v>
      </c>
      <c r="F166" s="14">
        <v>0</v>
      </c>
      <c r="G166" s="14">
        <v>0</v>
      </c>
      <c r="H166" s="14">
        <v>0</v>
      </c>
      <c r="I166" s="13">
        <v>0</v>
      </c>
      <c r="J166" s="14" t="str">
        <f t="shared" si="28"/>
        <v>0/1361/2500/31102/0/0/0/0/0</v>
      </c>
      <c r="K166" s="21" t="s">
        <v>103</v>
      </c>
      <c r="L166" s="22">
        <v>1000</v>
      </c>
      <c r="M166" s="22">
        <v>2000</v>
      </c>
      <c r="N166" s="20">
        <v>1500</v>
      </c>
      <c r="O166" s="17">
        <v>1000</v>
      </c>
      <c r="P166" s="17">
        <v>1000</v>
      </c>
      <c r="Q166" s="17"/>
      <c r="R166" s="17"/>
      <c r="S166" s="17"/>
      <c r="T166" s="57"/>
      <c r="V166" s="557"/>
    </row>
    <row r="167" spans="1:22" s="59" customFormat="1" outlineLevel="2" x14ac:dyDescent="0.25">
      <c r="A167" s="14">
        <v>0</v>
      </c>
      <c r="B167" s="14">
        <v>1361</v>
      </c>
      <c r="C167" s="18">
        <v>2500</v>
      </c>
      <c r="D167" s="14">
        <v>31101</v>
      </c>
      <c r="E167" s="14">
        <v>0</v>
      </c>
      <c r="F167" s="14">
        <v>0</v>
      </c>
      <c r="G167" s="14">
        <v>0</v>
      </c>
      <c r="H167" s="14">
        <v>0</v>
      </c>
      <c r="I167" s="13">
        <v>0</v>
      </c>
      <c r="J167" s="14" t="str">
        <f t="shared" si="28"/>
        <v>0/1361/2500/31101/0/0/0/0/0</v>
      </c>
      <c r="K167" s="21" t="s">
        <v>104</v>
      </c>
      <c r="L167" s="22">
        <v>19900</v>
      </c>
      <c r="M167" s="22">
        <v>7900</v>
      </c>
      <c r="N167" s="20">
        <v>10975</v>
      </c>
      <c r="O167" s="17">
        <v>7975</v>
      </c>
      <c r="P167" s="17">
        <v>15050</v>
      </c>
      <c r="Q167" s="17">
        <v>7000</v>
      </c>
      <c r="R167" s="17">
        <v>7000</v>
      </c>
      <c r="S167" s="17">
        <v>9000</v>
      </c>
      <c r="T167" s="57"/>
      <c r="V167" s="557"/>
    </row>
    <row r="168" spans="1:22" s="59" customFormat="1" outlineLevel="2" x14ac:dyDescent="0.25">
      <c r="A168" s="14">
        <v>0</v>
      </c>
      <c r="B168" s="14">
        <v>1361</v>
      </c>
      <c r="C168" s="18">
        <v>2500</v>
      </c>
      <c r="D168" s="14">
        <v>31023</v>
      </c>
      <c r="E168" s="14">
        <v>0</v>
      </c>
      <c r="F168" s="14">
        <v>0</v>
      </c>
      <c r="G168" s="14">
        <v>0</v>
      </c>
      <c r="H168" s="14">
        <v>0</v>
      </c>
      <c r="I168" s="13">
        <v>0</v>
      </c>
      <c r="J168" s="14" t="str">
        <f t="shared" si="28"/>
        <v>0/1361/2500/31023/0/0/0/0/0</v>
      </c>
      <c r="K168" s="21" t="s">
        <v>106</v>
      </c>
      <c r="L168" s="22">
        <v>155150</v>
      </c>
      <c r="M168" s="22">
        <v>138600</v>
      </c>
      <c r="N168" s="20">
        <v>124500</v>
      </c>
      <c r="O168" s="17">
        <v>139100</v>
      </c>
      <c r="P168" s="17">
        <v>90000</v>
      </c>
      <c r="Q168" s="17">
        <v>90000</v>
      </c>
      <c r="R168" s="17">
        <v>90000</v>
      </c>
      <c r="S168" s="17">
        <v>100000</v>
      </c>
      <c r="T168" s="57"/>
      <c r="V168" s="557"/>
    </row>
    <row r="169" spans="1:22" s="59" customFormat="1" outlineLevel="2" x14ac:dyDescent="0.25">
      <c r="A169" s="14">
        <v>0</v>
      </c>
      <c r="B169" s="14">
        <v>1361</v>
      </c>
      <c r="C169" s="18">
        <v>2500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3">
        <v>0</v>
      </c>
      <c r="J169" s="14" t="str">
        <f t="shared" si="28"/>
        <v>0/1361/2500/0/0/0/0/0/0</v>
      </c>
      <c r="K169" s="21" t="s">
        <v>4604</v>
      </c>
      <c r="L169" s="22"/>
      <c r="M169" s="22"/>
      <c r="N169" s="20"/>
      <c r="O169" s="17">
        <v>400</v>
      </c>
      <c r="P169" s="17"/>
      <c r="Q169" s="17"/>
      <c r="R169" s="17"/>
      <c r="S169" s="17"/>
      <c r="T169" s="57"/>
      <c r="V169" s="557"/>
    </row>
    <row r="170" spans="1:22" s="59" customFormat="1" outlineLevel="2" x14ac:dyDescent="0.25">
      <c r="A170" s="14">
        <v>0</v>
      </c>
      <c r="B170" s="14">
        <v>1361</v>
      </c>
      <c r="C170" s="18">
        <v>2500</v>
      </c>
      <c r="D170" s="14">
        <v>31107</v>
      </c>
      <c r="E170" s="14">
        <v>0</v>
      </c>
      <c r="F170" s="14">
        <v>0</v>
      </c>
      <c r="G170" s="14">
        <v>0</v>
      </c>
      <c r="H170" s="14">
        <v>0</v>
      </c>
      <c r="I170" s="13">
        <v>0</v>
      </c>
      <c r="J170" s="14" t="str">
        <f t="shared" si="28"/>
        <v>0/1361/2500/31107/0/0/0/0/0</v>
      </c>
      <c r="K170" s="21" t="s">
        <v>4604</v>
      </c>
      <c r="L170" s="22"/>
      <c r="M170" s="22"/>
      <c r="N170" s="20">
        <v>400</v>
      </c>
      <c r="O170" s="17">
        <v>200</v>
      </c>
      <c r="P170" s="17">
        <v>600</v>
      </c>
      <c r="Q170" s="17">
        <v>400</v>
      </c>
      <c r="R170" s="17">
        <v>400</v>
      </c>
      <c r="S170" s="17">
        <v>200</v>
      </c>
      <c r="T170" s="57"/>
      <c r="V170" s="557"/>
    </row>
    <row r="171" spans="1:22" s="59" customFormat="1" outlineLevel="2" x14ac:dyDescent="0.25">
      <c r="A171" s="14">
        <v>0</v>
      </c>
      <c r="B171" s="14">
        <v>1361</v>
      </c>
      <c r="C171" s="18">
        <v>2500</v>
      </c>
      <c r="D171" s="14">
        <v>31104</v>
      </c>
      <c r="E171" s="14">
        <v>0</v>
      </c>
      <c r="F171" s="14">
        <v>0</v>
      </c>
      <c r="G171" s="14">
        <v>0</v>
      </c>
      <c r="H171" s="14">
        <v>0</v>
      </c>
      <c r="I171" s="13">
        <v>0</v>
      </c>
      <c r="J171" s="14" t="str">
        <f t="shared" si="28"/>
        <v>0/1361/2500/31104/0/0/0/0/0</v>
      </c>
      <c r="K171" s="21" t="s">
        <v>107</v>
      </c>
      <c r="L171" s="22">
        <v>255500</v>
      </c>
      <c r="M171" s="22">
        <v>322900</v>
      </c>
      <c r="N171" s="20">
        <v>377700</v>
      </c>
      <c r="O171" s="17">
        <v>416900</v>
      </c>
      <c r="P171" s="17">
        <v>319900</v>
      </c>
      <c r="Q171" s="17">
        <v>250000</v>
      </c>
      <c r="R171" s="17">
        <v>250000</v>
      </c>
      <c r="S171" s="17">
        <v>280000</v>
      </c>
      <c r="T171" s="57"/>
      <c r="V171" s="557"/>
    </row>
    <row r="172" spans="1:22" s="59" customFormat="1" outlineLevel="2" x14ac:dyDescent="0.25">
      <c r="A172" s="14">
        <v>0</v>
      </c>
      <c r="B172" s="14">
        <v>1361</v>
      </c>
      <c r="C172" s="18">
        <v>2500</v>
      </c>
      <c r="D172" s="14">
        <v>31106</v>
      </c>
      <c r="E172" s="14">
        <v>0</v>
      </c>
      <c r="F172" s="14">
        <v>0</v>
      </c>
      <c r="G172" s="14">
        <v>0</v>
      </c>
      <c r="H172" s="14">
        <v>0</v>
      </c>
      <c r="I172" s="13">
        <v>0</v>
      </c>
      <c r="J172" s="14" t="str">
        <f t="shared" si="28"/>
        <v>0/1361/2500/31106/0/0/0/0/0</v>
      </c>
      <c r="K172" s="21" t="s">
        <v>108</v>
      </c>
      <c r="L172" s="22">
        <v>1000</v>
      </c>
      <c r="M172" s="22">
        <v>0</v>
      </c>
      <c r="N172" s="20">
        <v>4000</v>
      </c>
      <c r="O172" s="17">
        <v>1000</v>
      </c>
      <c r="P172" s="17">
        <f>10000-500</f>
        <v>9500</v>
      </c>
      <c r="Q172" s="17">
        <v>1000</v>
      </c>
      <c r="R172" s="17">
        <v>1000</v>
      </c>
      <c r="S172" s="17">
        <v>4000</v>
      </c>
      <c r="T172" s="57"/>
      <c r="V172" s="557"/>
    </row>
    <row r="173" spans="1:22" s="59" customFormat="1" outlineLevel="2" x14ac:dyDescent="0.25">
      <c r="A173" s="14">
        <v>0</v>
      </c>
      <c r="B173" s="14">
        <v>2212</v>
      </c>
      <c r="C173" s="18">
        <v>2500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3">
        <v>0</v>
      </c>
      <c r="J173" s="14" t="str">
        <f t="shared" si="28"/>
        <v>0/2212/2500/0/0/0/0/0/0</v>
      </c>
      <c r="K173" s="382" t="s">
        <v>3796</v>
      </c>
      <c r="L173" s="22">
        <v>175360</v>
      </c>
      <c r="M173" s="22">
        <v>159014.5</v>
      </c>
      <c r="N173" s="20">
        <f>170292.97+10100+2400</f>
        <v>182792.97</v>
      </c>
      <c r="O173" s="17">
        <v>273565</v>
      </c>
      <c r="P173" s="17">
        <v>143742.03</v>
      </c>
      <c r="Q173" s="17"/>
      <c r="R173" s="17">
        <v>82500</v>
      </c>
      <c r="S173" s="17">
        <v>0</v>
      </c>
      <c r="T173" s="57"/>
      <c r="V173" s="557"/>
    </row>
    <row r="174" spans="1:22" s="59" customFormat="1" outlineLevel="2" x14ac:dyDescent="0.25">
      <c r="A174" s="237">
        <v>1036</v>
      </c>
      <c r="B174" s="237">
        <v>2324</v>
      </c>
      <c r="C174" s="237">
        <v>2500</v>
      </c>
      <c r="D174" s="237">
        <v>21003</v>
      </c>
      <c r="E174" s="237">
        <v>0</v>
      </c>
      <c r="F174" s="237">
        <v>0</v>
      </c>
      <c r="G174" s="237">
        <v>0</v>
      </c>
      <c r="H174" s="237">
        <v>0</v>
      </c>
      <c r="I174" s="237">
        <v>0</v>
      </c>
      <c r="J174" s="14" t="s">
        <v>4591</v>
      </c>
      <c r="K174" s="238" t="s">
        <v>2711</v>
      </c>
      <c r="L174" s="22"/>
      <c r="M174" s="22"/>
      <c r="N174" s="20"/>
      <c r="O174" s="17"/>
      <c r="P174" s="17">
        <v>706198</v>
      </c>
      <c r="Q174" s="17"/>
      <c r="R174" s="17"/>
      <c r="S174" s="17"/>
      <c r="T174" s="57"/>
      <c r="V174" s="557"/>
    </row>
    <row r="175" spans="1:22" s="59" customFormat="1" outlineLevel="1" x14ac:dyDescent="0.25">
      <c r="A175" s="420"/>
      <c r="B175" s="420"/>
      <c r="C175" s="421" t="s">
        <v>4674</v>
      </c>
      <c r="D175" s="420"/>
      <c r="E175" s="420"/>
      <c r="F175" s="420"/>
      <c r="G175" s="420"/>
      <c r="H175" s="420"/>
      <c r="I175" s="420"/>
      <c r="J175" s="14"/>
      <c r="K175" s="422"/>
      <c r="L175" s="412">
        <f t="shared" ref="L175:S175" si="29">SUBTOTAL(9,L164:L174)</f>
        <v>639484.19999999995</v>
      </c>
      <c r="M175" s="412">
        <f t="shared" si="29"/>
        <v>662377.67999999993</v>
      </c>
      <c r="N175" s="413">
        <f t="shared" si="29"/>
        <v>731831.14999999991</v>
      </c>
      <c r="O175" s="414">
        <f t="shared" si="29"/>
        <v>870103.17999999993</v>
      </c>
      <c r="P175" s="414">
        <f t="shared" si="29"/>
        <v>1315953.21</v>
      </c>
      <c r="Q175" s="414">
        <f t="shared" si="29"/>
        <v>349400</v>
      </c>
      <c r="R175" s="414">
        <f t="shared" si="29"/>
        <v>431900</v>
      </c>
      <c r="S175" s="414">
        <f t="shared" si="29"/>
        <v>394200</v>
      </c>
      <c r="T175" s="415"/>
      <c r="V175" s="557"/>
    </row>
    <row r="176" spans="1:22" s="59" customFormat="1" ht="25.5" outlineLevel="2" x14ac:dyDescent="0.25">
      <c r="A176" s="281">
        <v>3639</v>
      </c>
      <c r="B176" s="281">
        <v>2141</v>
      </c>
      <c r="C176" s="67">
        <v>2698</v>
      </c>
      <c r="D176" s="281">
        <v>0</v>
      </c>
      <c r="E176" s="281">
        <v>0</v>
      </c>
      <c r="F176" s="281">
        <v>0</v>
      </c>
      <c r="G176" s="281">
        <v>0</v>
      </c>
      <c r="H176" s="281">
        <v>0</v>
      </c>
      <c r="I176" s="281">
        <v>0</v>
      </c>
      <c r="J176" s="14" t="str">
        <f>CONCATENATE(A176,"/",B176,"/",C176,"/",D176,"/",E176,"/",F176,"/",G176,"/",H176,"/",I176)</f>
        <v>3639/2141/2698/0/0/0/0/0/0</v>
      </c>
      <c r="K176" s="282" t="s">
        <v>4441</v>
      </c>
      <c r="L176" s="280"/>
      <c r="M176" s="280"/>
      <c r="N176" s="283"/>
      <c r="O176" s="68">
        <v>0</v>
      </c>
      <c r="P176" s="68"/>
      <c r="Q176" s="68"/>
      <c r="R176" s="68"/>
      <c r="S176" s="68"/>
      <c r="T176" s="166"/>
      <c r="V176" s="557"/>
    </row>
    <row r="177" spans="1:22" s="59" customFormat="1" outlineLevel="1" x14ac:dyDescent="0.25">
      <c r="A177" s="281"/>
      <c r="B177" s="281"/>
      <c r="C177" s="408" t="s">
        <v>4675</v>
      </c>
      <c r="D177" s="281"/>
      <c r="E177" s="281"/>
      <c r="F177" s="281"/>
      <c r="G177" s="281"/>
      <c r="H177" s="281"/>
      <c r="I177" s="281"/>
      <c r="J177" s="281"/>
      <c r="K177" s="282"/>
      <c r="L177" s="280">
        <f t="shared" ref="L177:S177" si="30">SUBTOTAL(9,L176:L176)</f>
        <v>0</v>
      </c>
      <c r="M177" s="280">
        <f t="shared" si="30"/>
        <v>0</v>
      </c>
      <c r="N177" s="283">
        <f t="shared" si="30"/>
        <v>0</v>
      </c>
      <c r="O177" s="68">
        <f t="shared" si="30"/>
        <v>0</v>
      </c>
      <c r="P177" s="68">
        <f t="shared" si="30"/>
        <v>0</v>
      </c>
      <c r="Q177" s="68">
        <f t="shared" si="30"/>
        <v>0</v>
      </c>
      <c r="R177" s="68">
        <f t="shared" si="30"/>
        <v>0</v>
      </c>
      <c r="S177" s="68">
        <f t="shared" si="30"/>
        <v>0</v>
      </c>
      <c r="T177" s="428"/>
      <c r="V177" s="557"/>
    </row>
    <row r="178" spans="1:22" s="59" customFormat="1" outlineLevel="2" x14ac:dyDescent="0.25">
      <c r="A178" s="14">
        <v>0</v>
      </c>
      <c r="B178" s="14">
        <v>2460</v>
      </c>
      <c r="C178" s="18">
        <v>2699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3">
        <v>0</v>
      </c>
      <c r="J178" s="14" t="str">
        <f>CONCATENATE(A178,"/",B178,"/",C178,"/",D178,"/",E178,"/",F178,"/",G178,"/",H178,"/",I178)</f>
        <v>0/2460/2699/0/0/0/0/0/0</v>
      </c>
      <c r="K178" s="21" t="s">
        <v>110</v>
      </c>
      <c r="L178" s="22">
        <v>1525073.75</v>
      </c>
      <c r="M178" s="22">
        <f>1254182.37+301</f>
        <v>1254483.3700000001</v>
      </c>
      <c r="N178" s="20">
        <v>1267631.6200000001</v>
      </c>
      <c r="O178" s="17">
        <v>1215210.5</v>
      </c>
      <c r="P178" s="17">
        <v>1187409.08</v>
      </c>
      <c r="Q178" s="17">
        <v>1300000</v>
      </c>
      <c r="R178" s="17">
        <v>1300000</v>
      </c>
      <c r="S178" s="17">
        <v>1300000</v>
      </c>
      <c r="T178" s="57"/>
      <c r="V178" s="557"/>
    </row>
    <row r="179" spans="1:22" s="59" customFormat="1" outlineLevel="2" x14ac:dyDescent="0.25">
      <c r="A179" s="14">
        <v>3611</v>
      </c>
      <c r="B179" s="14">
        <v>2141</v>
      </c>
      <c r="C179" s="18">
        <v>2699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3">
        <v>0</v>
      </c>
      <c r="J179" s="14" t="str">
        <f>CONCATENATE(A179,"/",B179,"/",C179,"/",D179,"/",E179,"/",F179,"/",G179,"/",H179,"/",I179)</f>
        <v>3611/2141/2699/0/0/0/0/0/0</v>
      </c>
      <c r="K179" s="21" t="s">
        <v>109</v>
      </c>
      <c r="L179" s="22">
        <v>253151.41</v>
      </c>
      <c r="M179" s="22">
        <v>130803.92</v>
      </c>
      <c r="N179" s="20">
        <v>119507.98</v>
      </c>
      <c r="O179" s="17">
        <v>111902.55</v>
      </c>
      <c r="P179" s="17">
        <v>104947.85</v>
      </c>
      <c r="Q179" s="17">
        <v>130000</v>
      </c>
      <c r="R179" s="17">
        <v>130000</v>
      </c>
      <c r="S179" s="17">
        <v>115000</v>
      </c>
      <c r="T179" s="166"/>
      <c r="V179" s="557"/>
    </row>
    <row r="180" spans="1:22" s="59" customFormat="1" outlineLevel="2" x14ac:dyDescent="0.25">
      <c r="A180" s="14">
        <v>3611</v>
      </c>
      <c r="B180" s="14">
        <v>2212</v>
      </c>
      <c r="C180" s="18">
        <v>2699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3">
        <v>0</v>
      </c>
      <c r="J180" s="14" t="str">
        <f>CONCATENATE(A180,"/",B180,"/",C180,"/",D180,"/",E180,"/",F180,"/",G180,"/",H180,"/",I180)</f>
        <v>3611/2212/2699/0/0/0/0/0/0</v>
      </c>
      <c r="K180" s="21" t="s">
        <v>4354</v>
      </c>
      <c r="L180" s="22"/>
      <c r="M180" s="22"/>
      <c r="N180" s="20"/>
      <c r="O180" s="17">
        <v>20236.740000000002</v>
      </c>
      <c r="P180" s="17"/>
      <c r="Q180" s="17"/>
      <c r="R180" s="17"/>
      <c r="S180" s="17">
        <v>0</v>
      </c>
      <c r="T180" s="57"/>
      <c r="V180" s="557"/>
    </row>
    <row r="181" spans="1:22" s="59" customFormat="1" outlineLevel="2" x14ac:dyDescent="0.25">
      <c r="A181" s="14">
        <v>6310</v>
      </c>
      <c r="B181" s="14">
        <v>2141</v>
      </c>
      <c r="C181" s="18">
        <v>2699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3">
        <v>0</v>
      </c>
      <c r="J181" s="14" t="str">
        <f>CONCATENATE(A181,"/",B181,"/",C181,"/",D181,"/",E181,"/",F181,"/",G181,"/",H181,"/",I181)</f>
        <v>6310/2141/2699/0/0/0/0/0/0</v>
      </c>
      <c r="K181" s="21" t="s">
        <v>4605</v>
      </c>
      <c r="L181" s="22">
        <v>901.62</v>
      </c>
      <c r="M181" s="22">
        <v>962.23</v>
      </c>
      <c r="N181" s="20">
        <f>982.12+842.74</f>
        <v>1824.8600000000001</v>
      </c>
      <c r="O181" s="17">
        <v>944.34</v>
      </c>
      <c r="P181" s="17">
        <f>420.26+484161.3+1228.31</f>
        <v>485809.87</v>
      </c>
      <c r="Q181" s="17">
        <v>1500</v>
      </c>
      <c r="R181" s="17">
        <v>1500</v>
      </c>
      <c r="S181" s="17">
        <v>1500</v>
      </c>
      <c r="T181" s="166"/>
      <c r="V181" s="557"/>
    </row>
    <row r="182" spans="1:22" s="59" customFormat="1" outlineLevel="1" x14ac:dyDescent="0.25">
      <c r="A182" s="281"/>
      <c r="B182" s="281"/>
      <c r="C182" s="408" t="s">
        <v>4676</v>
      </c>
      <c r="D182" s="281"/>
      <c r="E182" s="281"/>
      <c r="F182" s="281"/>
      <c r="G182" s="281"/>
      <c r="H182" s="281"/>
      <c r="I182" s="281"/>
      <c r="J182" s="281"/>
      <c r="K182" s="382"/>
      <c r="L182" s="280">
        <f t="shared" ref="L182:S182" si="31">SUBTOTAL(9,L178:L181)</f>
        <v>1779126.78</v>
      </c>
      <c r="M182" s="280">
        <f t="shared" si="31"/>
        <v>1386249.52</v>
      </c>
      <c r="N182" s="283">
        <f t="shared" si="31"/>
        <v>1388964.4600000002</v>
      </c>
      <c r="O182" s="68">
        <f t="shared" si="31"/>
        <v>1348294.1300000001</v>
      </c>
      <c r="P182" s="68">
        <f t="shared" si="31"/>
        <v>1778166.8000000003</v>
      </c>
      <c r="Q182" s="68">
        <f t="shared" si="31"/>
        <v>1431500</v>
      </c>
      <c r="R182" s="68">
        <f t="shared" si="31"/>
        <v>1431500</v>
      </c>
      <c r="S182" s="68">
        <f t="shared" si="31"/>
        <v>1416500</v>
      </c>
      <c r="T182" s="428"/>
      <c r="V182" s="557"/>
    </row>
    <row r="183" spans="1:22" s="59" customFormat="1" outlineLevel="2" x14ac:dyDescent="0.25">
      <c r="A183" s="14">
        <v>0</v>
      </c>
      <c r="B183" s="14">
        <v>2111</v>
      </c>
      <c r="C183" s="18">
        <v>2700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3">
        <v>0</v>
      </c>
      <c r="J183" s="14" t="str">
        <f>CONCATENATE(A183,"/",B183,"/",C183,"/",D183,"/",E183,"/",F183,"/",G183,"/",H183,"/",I183)</f>
        <v>0/2111/2700/0/0/0/0/0/0</v>
      </c>
      <c r="K183" s="19" t="s">
        <v>111</v>
      </c>
      <c r="L183" s="20">
        <v>17016.5</v>
      </c>
      <c r="M183" s="20">
        <v>67140</v>
      </c>
      <c r="N183" s="20"/>
      <c r="O183" s="17">
        <v>242552.5</v>
      </c>
      <c r="P183" s="17"/>
      <c r="Q183" s="17"/>
      <c r="R183" s="17"/>
      <c r="S183" s="17"/>
      <c r="T183" s="166"/>
      <c r="V183" s="557"/>
    </row>
    <row r="184" spans="1:22" s="59" customFormat="1" outlineLevel="2" x14ac:dyDescent="0.25">
      <c r="A184" s="237">
        <v>0</v>
      </c>
      <c r="B184" s="237">
        <v>2212</v>
      </c>
      <c r="C184" s="237">
        <v>2700</v>
      </c>
      <c r="D184" s="237">
        <v>0</v>
      </c>
      <c r="E184" s="237">
        <v>0</v>
      </c>
      <c r="F184" s="237">
        <v>0</v>
      </c>
      <c r="G184" s="237">
        <v>0</v>
      </c>
      <c r="H184" s="237">
        <v>0</v>
      </c>
      <c r="I184" s="237">
        <v>0</v>
      </c>
      <c r="J184" s="14" t="s">
        <v>4573</v>
      </c>
      <c r="K184" s="238" t="s">
        <v>4607</v>
      </c>
      <c r="L184" s="22"/>
      <c r="M184" s="22"/>
      <c r="N184" s="20"/>
      <c r="O184" s="17"/>
      <c r="P184" s="17">
        <f>7800+1000</f>
        <v>8800</v>
      </c>
      <c r="Q184" s="17"/>
      <c r="R184" s="17">
        <v>1000</v>
      </c>
      <c r="S184" s="17"/>
      <c r="T184" s="57"/>
      <c r="V184" s="557"/>
    </row>
    <row r="185" spans="1:22" s="59" customFormat="1" outlineLevel="2" x14ac:dyDescent="0.25">
      <c r="A185" s="237">
        <v>4339</v>
      </c>
      <c r="B185" s="237">
        <v>3121</v>
      </c>
      <c r="C185" s="237">
        <v>2700</v>
      </c>
      <c r="D185" s="237">
        <v>0</v>
      </c>
      <c r="E185" s="237">
        <v>0</v>
      </c>
      <c r="F185" s="237">
        <v>0</v>
      </c>
      <c r="G185" s="237">
        <v>0</v>
      </c>
      <c r="H185" s="237">
        <v>0</v>
      </c>
      <c r="I185" s="237">
        <v>0</v>
      </c>
      <c r="J185" s="14" t="s">
        <v>4602</v>
      </c>
      <c r="K185" s="238" t="s">
        <v>4521</v>
      </c>
      <c r="L185" s="22"/>
      <c r="M185" s="22"/>
      <c r="N185" s="20"/>
      <c r="O185" s="17"/>
      <c r="P185" s="17">
        <v>350000</v>
      </c>
      <c r="Q185" s="17"/>
      <c r="R185" s="17"/>
      <c r="S185" s="17"/>
      <c r="T185" s="57"/>
      <c r="V185" s="557"/>
    </row>
    <row r="186" spans="1:22" s="59" customFormat="1" outlineLevel="2" x14ac:dyDescent="0.25">
      <c r="A186" s="237">
        <v>4399</v>
      </c>
      <c r="B186" s="237">
        <v>2229</v>
      </c>
      <c r="C186" s="237">
        <v>2700</v>
      </c>
      <c r="D186" s="237">
        <v>0</v>
      </c>
      <c r="E186" s="237">
        <v>0</v>
      </c>
      <c r="F186" s="237">
        <v>0</v>
      </c>
      <c r="G186" s="237">
        <v>0</v>
      </c>
      <c r="H186" s="237">
        <v>53</v>
      </c>
      <c r="I186" s="237">
        <v>0</v>
      </c>
      <c r="J186" s="14" t="s">
        <v>4574</v>
      </c>
      <c r="K186" s="238" t="s">
        <v>4606</v>
      </c>
      <c r="L186" s="22"/>
      <c r="M186" s="22"/>
      <c r="N186" s="20"/>
      <c r="O186" s="17"/>
      <c r="P186" s="17">
        <f>9200+21792</f>
        <v>30992</v>
      </c>
      <c r="Q186" s="17"/>
      <c r="R186" s="17"/>
      <c r="S186" s="17"/>
      <c r="T186" s="57"/>
      <c r="V186" s="557"/>
    </row>
    <row r="187" spans="1:22" s="59" customFormat="1" outlineLevel="2" x14ac:dyDescent="0.25">
      <c r="A187" s="14">
        <v>4399</v>
      </c>
      <c r="B187" s="14">
        <v>2329</v>
      </c>
      <c r="C187" s="18">
        <v>2700</v>
      </c>
      <c r="D187" s="14">
        <v>31391</v>
      </c>
      <c r="E187" s="14">
        <v>0</v>
      </c>
      <c r="F187" s="14">
        <v>0</v>
      </c>
      <c r="G187" s="14">
        <v>0</v>
      </c>
      <c r="H187" s="14">
        <v>0</v>
      </c>
      <c r="I187" s="13">
        <v>0</v>
      </c>
      <c r="J187" s="14" t="str">
        <f>CONCATENATE(A187,"/",B187,"/",C187,"/",D187,"/",E187,"/",F187,"/",G187,"/",H187,"/",I187)</f>
        <v>4399/2329/2700/31391/0/0/0/0/0</v>
      </c>
      <c r="K187" s="21" t="s">
        <v>112</v>
      </c>
      <c r="L187" s="22">
        <v>4565</v>
      </c>
      <c r="M187" s="22">
        <v>9506</v>
      </c>
      <c r="N187" s="20">
        <v>6642</v>
      </c>
      <c r="O187" s="17">
        <v>1230</v>
      </c>
      <c r="P187" s="17">
        <v>328</v>
      </c>
      <c r="Q187" s="17">
        <v>5000</v>
      </c>
      <c r="R187" s="17">
        <v>5000</v>
      </c>
      <c r="S187" s="17">
        <v>5000</v>
      </c>
      <c r="T187" s="57"/>
      <c r="V187" s="557"/>
    </row>
    <row r="188" spans="1:22" s="59" customFormat="1" outlineLevel="1" x14ac:dyDescent="0.25">
      <c r="A188" s="409"/>
      <c r="B188" s="409"/>
      <c r="C188" s="418" t="s">
        <v>4677</v>
      </c>
      <c r="D188" s="409"/>
      <c r="E188" s="409"/>
      <c r="F188" s="409"/>
      <c r="G188" s="409"/>
      <c r="H188" s="409"/>
      <c r="I188" s="409"/>
      <c r="J188" s="14"/>
      <c r="K188" s="411"/>
      <c r="L188" s="412">
        <f t="shared" ref="L188:S188" si="32">SUBTOTAL(9,L183:L187)</f>
        <v>21581.5</v>
      </c>
      <c r="M188" s="412">
        <f t="shared" si="32"/>
        <v>76646</v>
      </c>
      <c r="N188" s="413">
        <f t="shared" si="32"/>
        <v>6642</v>
      </c>
      <c r="O188" s="414">
        <f t="shared" si="32"/>
        <v>243782.5</v>
      </c>
      <c r="P188" s="414">
        <f t="shared" si="32"/>
        <v>390120</v>
      </c>
      <c r="Q188" s="414">
        <f t="shared" si="32"/>
        <v>5000</v>
      </c>
      <c r="R188" s="414">
        <f t="shared" si="32"/>
        <v>6000</v>
      </c>
      <c r="S188" s="414">
        <f t="shared" si="32"/>
        <v>5000</v>
      </c>
      <c r="T188" s="415"/>
      <c r="V188" s="557"/>
    </row>
    <row r="189" spans="1:22" s="59" customFormat="1" outlineLevel="2" x14ac:dyDescent="0.25">
      <c r="A189" s="429">
        <v>6310</v>
      </c>
      <c r="B189" s="429">
        <v>2141</v>
      </c>
      <c r="C189" s="429">
        <v>2799</v>
      </c>
      <c r="D189" s="429">
        <v>0</v>
      </c>
      <c r="E189" s="429">
        <v>0</v>
      </c>
      <c r="F189" s="429">
        <v>0</v>
      </c>
      <c r="G189" s="429">
        <v>0</v>
      </c>
      <c r="H189" s="429">
        <v>0</v>
      </c>
      <c r="I189" s="429">
        <v>0</v>
      </c>
      <c r="J189" s="281" t="s">
        <v>4571</v>
      </c>
      <c r="K189" s="430" t="s">
        <v>4687</v>
      </c>
      <c r="L189" s="280"/>
      <c r="M189" s="280"/>
      <c r="N189" s="283"/>
      <c r="O189" s="68"/>
      <c r="P189" s="68">
        <f>189.8+7202.92</f>
        <v>7392.72</v>
      </c>
      <c r="Q189" s="68"/>
      <c r="R189" s="68"/>
      <c r="S189" s="68"/>
      <c r="T189" s="428"/>
      <c r="V189" s="557"/>
    </row>
    <row r="190" spans="1:22" s="59" customFormat="1" outlineLevel="1" x14ac:dyDescent="0.25">
      <c r="A190" s="429"/>
      <c r="B190" s="429"/>
      <c r="C190" s="431" t="s">
        <v>4678</v>
      </c>
      <c r="D190" s="429"/>
      <c r="E190" s="429"/>
      <c r="F190" s="429"/>
      <c r="G190" s="429"/>
      <c r="H190" s="429"/>
      <c r="I190" s="429"/>
      <c r="J190" s="281"/>
      <c r="K190" s="430"/>
      <c r="L190" s="280">
        <f t="shared" ref="L190:S190" si="33">SUBTOTAL(9,L189:L189)</f>
        <v>0</v>
      </c>
      <c r="M190" s="280">
        <f t="shared" si="33"/>
        <v>0</v>
      </c>
      <c r="N190" s="283">
        <f t="shared" si="33"/>
        <v>0</v>
      </c>
      <c r="O190" s="68">
        <f t="shared" si="33"/>
        <v>0</v>
      </c>
      <c r="P190" s="68">
        <f t="shared" si="33"/>
        <v>7392.72</v>
      </c>
      <c r="Q190" s="68">
        <f t="shared" si="33"/>
        <v>0</v>
      </c>
      <c r="R190" s="68">
        <f t="shared" si="33"/>
        <v>0</v>
      </c>
      <c r="S190" s="68">
        <f t="shared" si="33"/>
        <v>0</v>
      </c>
      <c r="T190" s="428"/>
      <c r="V190" s="557"/>
    </row>
    <row r="191" spans="1:22" s="59" customFormat="1" outlineLevel="2" x14ac:dyDescent="0.25">
      <c r="A191" s="405">
        <v>0</v>
      </c>
      <c r="B191" s="405">
        <v>2212</v>
      </c>
      <c r="C191" s="65">
        <v>2870</v>
      </c>
      <c r="D191" s="405">
        <v>0</v>
      </c>
      <c r="E191" s="14">
        <v>0</v>
      </c>
      <c r="F191" s="14">
        <v>0</v>
      </c>
      <c r="G191" s="14">
        <v>0</v>
      </c>
      <c r="H191" s="14">
        <v>0</v>
      </c>
      <c r="I191" s="13">
        <v>0</v>
      </c>
      <c r="J191" s="14" t="str">
        <f>CONCATENATE(A191,"/",B191,"/",C191,"/",D191,"/",E191,"/",F191,"/",G191,"/",H191,"/",I191)</f>
        <v>0/2212/2870/0/0/0/0/0/0</v>
      </c>
      <c r="K191" s="21" t="s">
        <v>113</v>
      </c>
      <c r="L191" s="22">
        <v>0</v>
      </c>
      <c r="M191" s="22">
        <f>117000+4000</f>
        <v>121000</v>
      </c>
      <c r="N191" s="20"/>
      <c r="O191" s="17">
        <v>0</v>
      </c>
      <c r="P191" s="17">
        <v>11000</v>
      </c>
      <c r="Q191" s="17"/>
      <c r="R191" s="17"/>
      <c r="S191" s="17">
        <v>0</v>
      </c>
      <c r="T191" s="57"/>
      <c r="V191" s="557"/>
    </row>
    <row r="192" spans="1:22" s="59" customFormat="1" outlineLevel="2" x14ac:dyDescent="0.25">
      <c r="A192" s="406">
        <v>3322</v>
      </c>
      <c r="B192" s="406">
        <v>2322</v>
      </c>
      <c r="C192" s="406">
        <v>2870</v>
      </c>
      <c r="D192" s="406">
        <v>11630</v>
      </c>
      <c r="E192" s="14"/>
      <c r="F192" s="14"/>
      <c r="G192" s="14"/>
      <c r="H192" s="14"/>
      <c r="I192" s="13"/>
      <c r="J192" s="14"/>
      <c r="K192" s="21" t="s">
        <v>4631</v>
      </c>
      <c r="L192" s="22"/>
      <c r="M192" s="22"/>
      <c r="N192" s="20"/>
      <c r="O192" s="17"/>
      <c r="P192" s="17"/>
      <c r="Q192" s="17"/>
      <c r="R192" s="17">
        <v>350000</v>
      </c>
      <c r="S192" s="17"/>
      <c r="T192" s="57"/>
      <c r="V192" s="557"/>
    </row>
    <row r="193" spans="1:22" s="59" customFormat="1" outlineLevel="1" x14ac:dyDescent="0.25">
      <c r="A193" s="416"/>
      <c r="B193" s="416"/>
      <c r="C193" s="417" t="s">
        <v>4679</v>
      </c>
      <c r="D193" s="416"/>
      <c r="E193" s="409"/>
      <c r="F193" s="409"/>
      <c r="G193" s="409"/>
      <c r="H193" s="409"/>
      <c r="I193" s="409"/>
      <c r="J193" s="409"/>
      <c r="K193" s="411"/>
      <c r="L193" s="412">
        <f t="shared" ref="L193:S193" si="34">SUBTOTAL(9,L191:L192)</f>
        <v>0</v>
      </c>
      <c r="M193" s="412">
        <f t="shared" si="34"/>
        <v>121000</v>
      </c>
      <c r="N193" s="413">
        <f t="shared" si="34"/>
        <v>0</v>
      </c>
      <c r="O193" s="414">
        <f t="shared" si="34"/>
        <v>0</v>
      </c>
      <c r="P193" s="414">
        <f t="shared" si="34"/>
        <v>11000</v>
      </c>
      <c r="Q193" s="414">
        <f t="shared" si="34"/>
        <v>0</v>
      </c>
      <c r="R193" s="414">
        <f t="shared" si="34"/>
        <v>350000</v>
      </c>
      <c r="S193" s="414">
        <f t="shared" si="34"/>
        <v>0</v>
      </c>
      <c r="T193" s="415"/>
      <c r="V193" s="557"/>
    </row>
    <row r="194" spans="1:22" s="59" customFormat="1" outlineLevel="2" x14ac:dyDescent="0.25">
      <c r="A194" s="237">
        <v>3613</v>
      </c>
      <c r="B194" s="237">
        <v>2324</v>
      </c>
      <c r="C194" s="237">
        <v>2950</v>
      </c>
      <c r="D194" s="237">
        <v>15001</v>
      </c>
      <c r="E194" s="237">
        <v>0</v>
      </c>
      <c r="F194" s="237">
        <v>0</v>
      </c>
      <c r="G194" s="237">
        <v>0</v>
      </c>
      <c r="H194" s="237">
        <v>0</v>
      </c>
      <c r="I194" s="237">
        <v>0</v>
      </c>
      <c r="J194" s="14" t="s">
        <v>4595</v>
      </c>
      <c r="K194" s="238" t="s">
        <v>4519</v>
      </c>
      <c r="L194" s="22"/>
      <c r="M194" s="22"/>
      <c r="N194" s="20"/>
      <c r="O194" s="17"/>
      <c r="P194" s="17">
        <v>7548</v>
      </c>
      <c r="Q194" s="17"/>
      <c r="R194" s="17"/>
      <c r="S194" s="17"/>
      <c r="T194" s="166"/>
      <c r="U194" s="39"/>
      <c r="V194" s="557"/>
    </row>
    <row r="195" spans="1:22" s="59" customFormat="1" outlineLevel="2" x14ac:dyDescent="0.25">
      <c r="A195" s="14">
        <v>3412</v>
      </c>
      <c r="B195" s="14">
        <v>2111</v>
      </c>
      <c r="C195" s="18">
        <v>2950</v>
      </c>
      <c r="D195" s="14">
        <v>16421</v>
      </c>
      <c r="E195" s="14">
        <v>0</v>
      </c>
      <c r="F195" s="14">
        <v>0</v>
      </c>
      <c r="G195" s="14">
        <v>0</v>
      </c>
      <c r="H195" s="14">
        <v>0</v>
      </c>
      <c r="I195" s="13">
        <v>0</v>
      </c>
      <c r="J195" s="14" t="str">
        <f>CONCATENATE(A195,"/",B195,"/",C195,"/",D195,"/",E195,"/",F195,"/",G195,"/",H195,"/",I195)</f>
        <v>3412/2111/2950/16421/0/0/0/0/0</v>
      </c>
      <c r="K195" s="21" t="s">
        <v>119</v>
      </c>
      <c r="L195" s="22"/>
      <c r="M195" s="22"/>
      <c r="N195" s="20"/>
      <c r="O195" s="17">
        <v>2776676.77</v>
      </c>
      <c r="P195" s="17">
        <v>114229.14</v>
      </c>
      <c r="Q195" s="17">
        <v>84000</v>
      </c>
      <c r="R195" s="17">
        <v>84000</v>
      </c>
      <c r="S195" s="17"/>
      <c r="T195" s="166"/>
      <c r="V195" s="557"/>
    </row>
    <row r="196" spans="1:22" s="59" customFormat="1" outlineLevel="2" x14ac:dyDescent="0.25">
      <c r="A196" s="14">
        <v>3412</v>
      </c>
      <c r="B196" s="14">
        <v>2133</v>
      </c>
      <c r="C196" s="18">
        <v>2950</v>
      </c>
      <c r="D196" s="14">
        <v>16421</v>
      </c>
      <c r="E196" s="14">
        <v>0</v>
      </c>
      <c r="F196" s="14">
        <v>0</v>
      </c>
      <c r="G196" s="14">
        <v>0</v>
      </c>
      <c r="H196" s="14">
        <v>0</v>
      </c>
      <c r="I196" s="13">
        <v>0</v>
      </c>
      <c r="J196" s="14" t="str">
        <f>CONCATENATE(A196,"/",B196,"/",C196,"/",D196,"/",E196,"/",F196,"/",G196,"/",H196,"/",I196)</f>
        <v>3412/2133/2950/16421/0/0/0/0/0</v>
      </c>
      <c r="K196" s="19" t="s">
        <v>3790</v>
      </c>
      <c r="L196" s="22"/>
      <c r="M196" s="22">
        <v>144186.01999999999</v>
      </c>
      <c r="N196" s="20">
        <v>51220.51</v>
      </c>
      <c r="O196" s="17">
        <f>55260.09+57076.1+1360</f>
        <v>113696.19</v>
      </c>
      <c r="P196" s="17">
        <v>101437.92</v>
      </c>
      <c r="Q196" s="17">
        <v>195200</v>
      </c>
      <c r="R196" s="17">
        <v>195200</v>
      </c>
      <c r="S196" s="17">
        <v>195208</v>
      </c>
      <c r="T196" s="166"/>
      <c r="V196" s="557"/>
    </row>
    <row r="197" spans="1:22" s="59" customFormat="1" outlineLevel="2" x14ac:dyDescent="0.25">
      <c r="A197" s="14">
        <v>3412</v>
      </c>
      <c r="B197" s="14">
        <v>2132</v>
      </c>
      <c r="C197" s="18">
        <v>2950</v>
      </c>
      <c r="D197" s="14">
        <v>16421</v>
      </c>
      <c r="E197" s="14">
        <v>0</v>
      </c>
      <c r="F197" s="14">
        <v>0</v>
      </c>
      <c r="G197" s="14">
        <v>0</v>
      </c>
      <c r="H197" s="14">
        <v>0</v>
      </c>
      <c r="I197" s="13">
        <v>0</v>
      </c>
      <c r="J197" s="14" t="str">
        <f>CONCATENATE(A197,"/",B197,"/",C197,"/",D197,"/",E197,"/",F197,"/",G197,"/",H197,"/",I197)</f>
        <v>3412/2132/2950/16421/0/0/0/0/0</v>
      </c>
      <c r="K197" s="21" t="s">
        <v>120</v>
      </c>
      <c r="L197" s="22">
        <v>27220</v>
      </c>
      <c r="M197" s="22">
        <v>269410.58</v>
      </c>
      <c r="N197" s="20">
        <v>69691.87</v>
      </c>
      <c r="O197" s="17">
        <v>88547.97</v>
      </c>
      <c r="P197" s="17">
        <v>151410.59</v>
      </c>
      <c r="Q197" s="17">
        <v>109400</v>
      </c>
      <c r="R197" s="17">
        <v>109400</v>
      </c>
      <c r="S197" s="17">
        <v>199592</v>
      </c>
      <c r="T197" s="166"/>
      <c r="V197" s="557"/>
    </row>
    <row r="198" spans="1:22" s="59" customFormat="1" outlineLevel="2" x14ac:dyDescent="0.25">
      <c r="A198" s="14">
        <v>2221</v>
      </c>
      <c r="B198" s="14">
        <v>2111</v>
      </c>
      <c r="C198" s="18">
        <v>2950</v>
      </c>
      <c r="D198" s="14">
        <v>49540</v>
      </c>
      <c r="E198" s="14"/>
      <c r="F198" s="14"/>
      <c r="G198" s="14"/>
      <c r="H198" s="14"/>
      <c r="I198" s="13"/>
      <c r="J198" s="14"/>
      <c r="K198" s="21" t="s">
        <v>4653</v>
      </c>
      <c r="L198" s="22"/>
      <c r="M198" s="22"/>
      <c r="N198" s="20"/>
      <c r="O198" s="17"/>
      <c r="P198" s="17"/>
      <c r="Q198" s="17"/>
      <c r="R198" s="17"/>
      <c r="S198" s="17">
        <v>606400</v>
      </c>
      <c r="T198" s="166"/>
      <c r="V198" s="557"/>
    </row>
    <row r="199" spans="1:22" s="59" customFormat="1" outlineLevel="2" x14ac:dyDescent="0.25">
      <c r="A199" s="14">
        <v>2221</v>
      </c>
      <c r="B199" s="14">
        <v>2131</v>
      </c>
      <c r="C199" s="18">
        <v>2950</v>
      </c>
      <c r="D199" s="14">
        <v>30035</v>
      </c>
      <c r="E199" s="14">
        <v>0</v>
      </c>
      <c r="F199" s="14">
        <v>0</v>
      </c>
      <c r="G199" s="14">
        <v>0</v>
      </c>
      <c r="H199" s="14">
        <v>0</v>
      </c>
      <c r="I199" s="13">
        <v>0</v>
      </c>
      <c r="J199" s="14" t="str">
        <f>CONCATENATE(A199,"/",B199,"/",C199,"/",D199,"/",E199,"/",F199,"/",G199,"/",H199,"/",I199)</f>
        <v>2221/2131/2950/30035/0/0/0/0/0</v>
      </c>
      <c r="K199" s="21" t="s">
        <v>121</v>
      </c>
      <c r="L199" s="22">
        <v>314724.64</v>
      </c>
      <c r="M199" s="22">
        <v>472086.96</v>
      </c>
      <c r="N199" s="20">
        <v>314724.64</v>
      </c>
      <c r="O199" s="17">
        <v>323536.92</v>
      </c>
      <c r="P199" s="17">
        <v>647073.84</v>
      </c>
      <c r="Q199" s="17">
        <v>672000</v>
      </c>
      <c r="R199" s="17">
        <v>672000</v>
      </c>
      <c r="S199" s="17"/>
      <c r="T199" s="166"/>
      <c r="V199" s="557"/>
    </row>
    <row r="200" spans="1:22" s="59" customFormat="1" outlineLevel="2" x14ac:dyDescent="0.25">
      <c r="A200" s="237">
        <v>3613</v>
      </c>
      <c r="B200" s="237">
        <v>2324</v>
      </c>
      <c r="C200" s="237">
        <v>2950</v>
      </c>
      <c r="D200" s="237">
        <v>12001</v>
      </c>
      <c r="E200" s="237">
        <v>0</v>
      </c>
      <c r="F200" s="237">
        <v>0</v>
      </c>
      <c r="G200" s="237">
        <v>0</v>
      </c>
      <c r="H200" s="237">
        <v>0</v>
      </c>
      <c r="I200" s="237">
        <v>0</v>
      </c>
      <c r="J200" s="14" t="s">
        <v>4594</v>
      </c>
      <c r="K200" s="238" t="s">
        <v>2472</v>
      </c>
      <c r="L200" s="22"/>
      <c r="M200" s="22"/>
      <c r="N200" s="20"/>
      <c r="O200" s="17"/>
      <c r="P200" s="17">
        <v>25148.12</v>
      </c>
      <c r="Q200" s="17"/>
      <c r="R200" s="17"/>
      <c r="S200" s="17"/>
      <c r="T200" s="166"/>
      <c r="U200" s="39"/>
      <c r="V200" s="557"/>
    </row>
    <row r="201" spans="1:22" s="59" customFormat="1" ht="30" customHeight="1" outlineLevel="2" x14ac:dyDescent="0.25">
      <c r="A201" s="14">
        <v>3612</v>
      </c>
      <c r="B201" s="14">
        <v>2111</v>
      </c>
      <c r="C201" s="18">
        <v>2950</v>
      </c>
      <c r="D201" s="14">
        <v>31791</v>
      </c>
      <c r="E201" s="14">
        <v>0</v>
      </c>
      <c r="F201" s="14">
        <v>0</v>
      </c>
      <c r="G201" s="14">
        <v>0</v>
      </c>
      <c r="H201" s="14">
        <v>0</v>
      </c>
      <c r="I201" s="13">
        <v>0</v>
      </c>
      <c r="J201" s="14" t="str">
        <f>CONCATENATE(A201,"/",B201,"/",C201,"/",D201,"/",E201,"/",F201,"/",G201,"/",H201,"/",I201)</f>
        <v>3612/2111/2950/31791/0/0/0/0/0</v>
      </c>
      <c r="K201" s="21" t="s">
        <v>122</v>
      </c>
      <c r="L201" s="22">
        <v>14180.51</v>
      </c>
      <c r="M201" s="22">
        <v>47298.77</v>
      </c>
      <c r="N201" s="20">
        <v>37554.019999999997</v>
      </c>
      <c r="O201" s="17">
        <v>28384.39</v>
      </c>
      <c r="P201" s="17">
        <v>36165</v>
      </c>
      <c r="Q201" s="17">
        <v>25000</v>
      </c>
      <c r="R201" s="17">
        <v>25000</v>
      </c>
      <c r="S201" s="17">
        <v>2000</v>
      </c>
      <c r="T201" s="166"/>
      <c r="V201" s="557"/>
    </row>
    <row r="202" spans="1:22" s="59" customFormat="1" ht="15" customHeight="1" outlineLevel="2" x14ac:dyDescent="0.25">
      <c r="A202" s="14">
        <v>3612</v>
      </c>
      <c r="B202" s="14">
        <v>2132</v>
      </c>
      <c r="C202" s="18">
        <v>2950</v>
      </c>
      <c r="D202" s="14">
        <v>30030</v>
      </c>
      <c r="E202" s="14">
        <v>0</v>
      </c>
      <c r="F202" s="14">
        <v>0</v>
      </c>
      <c r="G202" s="14">
        <v>0</v>
      </c>
      <c r="H202" s="14">
        <v>0</v>
      </c>
      <c r="I202" s="13">
        <v>0</v>
      </c>
      <c r="J202" s="14" t="str">
        <f>CONCATENATE(A202,"/",B202,"/",C202,"/",D202,"/",E202,"/",F202,"/",G202,"/",H202,"/",I202)</f>
        <v>3612/2132/2950/30030/0/0/0/0/0</v>
      </c>
      <c r="K202" s="21" t="s">
        <v>123</v>
      </c>
      <c r="L202" s="22">
        <v>14639283.859999999</v>
      </c>
      <c r="M202" s="22">
        <v>12887280.6</v>
      </c>
      <c r="N202" s="20">
        <v>11389548.5</v>
      </c>
      <c r="O202" s="17">
        <f>11568233+13393+20</f>
        <v>11581646</v>
      </c>
      <c r="P202" s="17">
        <v>14943511</v>
      </c>
      <c r="Q202" s="22">
        <v>15000000</v>
      </c>
      <c r="R202" s="22">
        <v>15000000</v>
      </c>
      <c r="S202" s="22">
        <f>17000000-5100000</f>
        <v>11900000</v>
      </c>
      <c r="T202" s="166" t="s">
        <v>5111</v>
      </c>
      <c r="V202" s="557"/>
    </row>
    <row r="203" spans="1:22" s="59" customFormat="1" ht="15" customHeight="1" outlineLevel="2" x14ac:dyDescent="0.25">
      <c r="A203" s="281">
        <v>3612</v>
      </c>
      <c r="B203" s="281">
        <v>2132</v>
      </c>
      <c r="C203" s="408">
        <v>2998</v>
      </c>
      <c r="D203" s="281">
        <v>30030</v>
      </c>
      <c r="E203" s="281">
        <v>0</v>
      </c>
      <c r="F203" s="281">
        <v>0</v>
      </c>
      <c r="G203" s="281">
        <v>0</v>
      </c>
      <c r="H203" s="281">
        <v>0</v>
      </c>
      <c r="I203" s="281">
        <v>0</v>
      </c>
      <c r="J203" s="382" t="s">
        <v>123</v>
      </c>
      <c r="K203" s="382" t="s">
        <v>5117</v>
      </c>
      <c r="L203" s="280"/>
      <c r="M203" s="280"/>
      <c r="N203" s="283"/>
      <c r="O203" s="68"/>
      <c r="P203" s="68"/>
      <c r="Q203" s="68"/>
      <c r="R203" s="68"/>
      <c r="S203" s="68">
        <v>5100000</v>
      </c>
      <c r="T203" s="428"/>
      <c r="V203" s="557"/>
    </row>
    <row r="204" spans="1:22" s="59" customFormat="1" ht="15" customHeight="1" outlineLevel="2" x14ac:dyDescent="0.25">
      <c r="A204" s="237">
        <v>3612</v>
      </c>
      <c r="B204" s="237">
        <v>2111</v>
      </c>
      <c r="C204" s="237">
        <v>2950</v>
      </c>
      <c r="D204" s="237">
        <v>39788</v>
      </c>
      <c r="E204" s="237">
        <v>0</v>
      </c>
      <c r="F204" s="237">
        <v>0</v>
      </c>
      <c r="G204" s="237">
        <v>0</v>
      </c>
      <c r="H204" s="237">
        <v>7</v>
      </c>
      <c r="I204" s="237">
        <v>0</v>
      </c>
      <c r="J204" s="14" t="s">
        <v>4543</v>
      </c>
      <c r="K204" s="238" t="s">
        <v>2999</v>
      </c>
      <c r="L204" s="22"/>
      <c r="M204" s="22"/>
      <c r="N204" s="20"/>
      <c r="O204" s="17"/>
      <c r="P204" s="17">
        <v>344006.72</v>
      </c>
      <c r="Q204" s="17"/>
      <c r="R204" s="17"/>
      <c r="S204" s="17"/>
      <c r="T204" s="166"/>
      <c r="V204" s="557"/>
    </row>
    <row r="205" spans="1:22" s="59" customFormat="1" ht="15" customHeight="1" outlineLevel="2" x14ac:dyDescent="0.25">
      <c r="A205" s="237">
        <v>3612</v>
      </c>
      <c r="B205" s="237">
        <v>2132</v>
      </c>
      <c r="C205" s="237">
        <v>2950</v>
      </c>
      <c r="D205" s="237">
        <v>39788</v>
      </c>
      <c r="E205" s="237">
        <v>0</v>
      </c>
      <c r="F205" s="237">
        <v>0</v>
      </c>
      <c r="G205" s="237">
        <v>0</v>
      </c>
      <c r="H205" s="237">
        <v>7</v>
      </c>
      <c r="I205" s="237">
        <v>0</v>
      </c>
      <c r="J205" s="14" t="s">
        <v>4562</v>
      </c>
      <c r="K205" s="238" t="s">
        <v>2999</v>
      </c>
      <c r="L205" s="22"/>
      <c r="M205" s="22"/>
      <c r="N205" s="20"/>
      <c r="O205" s="17"/>
      <c r="P205" s="17">
        <v>101743.6</v>
      </c>
      <c r="Q205" s="17"/>
      <c r="R205" s="17"/>
      <c r="S205" s="17"/>
      <c r="T205" s="166"/>
      <c r="V205" s="557"/>
    </row>
    <row r="206" spans="1:22" s="59" customFormat="1" ht="15" customHeight="1" outlineLevel="2" x14ac:dyDescent="0.25">
      <c r="A206" s="237">
        <v>3613</v>
      </c>
      <c r="B206" s="237">
        <v>2111</v>
      </c>
      <c r="C206" s="237">
        <v>2950</v>
      </c>
      <c r="D206" s="237">
        <v>39788</v>
      </c>
      <c r="E206" s="237">
        <v>0</v>
      </c>
      <c r="F206" s="237">
        <v>0</v>
      </c>
      <c r="G206" s="237">
        <v>0</v>
      </c>
      <c r="H206" s="237">
        <v>0</v>
      </c>
      <c r="I206" s="237">
        <v>0</v>
      </c>
      <c r="J206" s="14" t="s">
        <v>4548</v>
      </c>
      <c r="K206" s="238" t="s">
        <v>2999</v>
      </c>
      <c r="L206" s="22"/>
      <c r="M206" s="22"/>
      <c r="N206" s="20"/>
      <c r="O206" s="17"/>
      <c r="P206" s="17">
        <v>67767.600000000006</v>
      </c>
      <c r="Q206" s="17"/>
      <c r="R206" s="17"/>
      <c r="S206" s="17"/>
      <c r="T206" s="166"/>
      <c r="V206" s="557"/>
    </row>
    <row r="207" spans="1:22" s="59" customFormat="1" ht="15" customHeight="1" outlineLevel="2" x14ac:dyDescent="0.25">
      <c r="A207" s="237">
        <v>3613</v>
      </c>
      <c r="B207" s="237">
        <v>2132</v>
      </c>
      <c r="C207" s="237">
        <v>2950</v>
      </c>
      <c r="D207" s="237">
        <v>39788</v>
      </c>
      <c r="E207" s="237">
        <v>0</v>
      </c>
      <c r="F207" s="237">
        <v>0</v>
      </c>
      <c r="G207" s="237">
        <v>0</v>
      </c>
      <c r="H207" s="237">
        <v>0</v>
      </c>
      <c r="I207" s="237">
        <v>0</v>
      </c>
      <c r="J207" s="14" t="s">
        <v>4565</v>
      </c>
      <c r="K207" s="238" t="s">
        <v>2999</v>
      </c>
      <c r="L207" s="22"/>
      <c r="M207" s="22"/>
      <c r="N207" s="20"/>
      <c r="O207" s="17"/>
      <c r="P207" s="17">
        <v>386352.07</v>
      </c>
      <c r="Q207" s="17"/>
      <c r="R207" s="17"/>
      <c r="S207" s="17"/>
      <c r="T207" s="166"/>
      <c r="U207" s="39"/>
      <c r="V207" s="557"/>
    </row>
    <row r="208" spans="1:22" s="59" customFormat="1" ht="15" customHeight="1" outlineLevel="2" x14ac:dyDescent="0.25">
      <c r="A208" s="237">
        <v>3613</v>
      </c>
      <c r="B208" s="237">
        <v>2132</v>
      </c>
      <c r="C208" s="237">
        <v>2950</v>
      </c>
      <c r="D208" s="237">
        <v>39788</v>
      </c>
      <c r="E208" s="237">
        <v>0</v>
      </c>
      <c r="F208" s="237">
        <v>0</v>
      </c>
      <c r="G208" s="237">
        <v>0</v>
      </c>
      <c r="H208" s="237">
        <v>7</v>
      </c>
      <c r="I208" s="237">
        <v>0</v>
      </c>
      <c r="J208" s="14" t="s">
        <v>4566</v>
      </c>
      <c r="K208" s="238" t="s">
        <v>2999</v>
      </c>
      <c r="L208" s="22"/>
      <c r="M208" s="22"/>
      <c r="N208" s="20"/>
      <c r="O208" s="17"/>
      <c r="P208" s="17">
        <v>541.28</v>
      </c>
      <c r="Q208" s="17"/>
      <c r="R208" s="17"/>
      <c r="S208" s="17"/>
      <c r="T208" s="166"/>
      <c r="U208" s="39"/>
      <c r="V208" s="557"/>
    </row>
    <row r="209" spans="1:22" s="59" customFormat="1" ht="15" customHeight="1" outlineLevel="2" x14ac:dyDescent="0.25">
      <c r="A209" s="237">
        <v>3612</v>
      </c>
      <c r="B209" s="237">
        <v>2111</v>
      </c>
      <c r="C209" s="237">
        <v>2950</v>
      </c>
      <c r="D209" s="237">
        <v>0</v>
      </c>
      <c r="E209" s="237">
        <v>0</v>
      </c>
      <c r="F209" s="237">
        <v>0</v>
      </c>
      <c r="G209" s="237">
        <v>0</v>
      </c>
      <c r="H209" s="237">
        <v>0</v>
      </c>
      <c r="I209" s="237">
        <v>0</v>
      </c>
      <c r="J209" s="14" t="s">
        <v>4541</v>
      </c>
      <c r="K209" s="238" t="s">
        <v>4510</v>
      </c>
      <c r="L209" s="22"/>
      <c r="M209" s="22"/>
      <c r="N209" s="20"/>
      <c r="O209" s="17"/>
      <c r="P209" s="17">
        <v>78436.259999999995</v>
      </c>
      <c r="Q209" s="17"/>
      <c r="R209" s="17"/>
      <c r="S209" s="17"/>
      <c r="T209" s="166"/>
      <c r="V209" s="557"/>
    </row>
    <row r="210" spans="1:22" s="59" customFormat="1" ht="15" customHeight="1" outlineLevel="2" x14ac:dyDescent="0.25">
      <c r="A210" s="14">
        <v>3612</v>
      </c>
      <c r="B210" s="14">
        <v>2111</v>
      </c>
      <c r="C210" s="18">
        <v>2950</v>
      </c>
      <c r="D210" s="14">
        <v>30031</v>
      </c>
      <c r="E210" s="14">
        <v>0</v>
      </c>
      <c r="F210" s="14">
        <v>0</v>
      </c>
      <c r="G210" s="14">
        <v>0</v>
      </c>
      <c r="H210" s="14">
        <v>0</v>
      </c>
      <c r="I210" s="13">
        <v>0</v>
      </c>
      <c r="J210" s="14" t="str">
        <f>CONCATENATE(A210,"/",B210,"/",C210,"/",D210,"/",E210,"/",F210,"/",G210,"/",H210,"/",I210)</f>
        <v>3612/2111/2950/30031/0/0/0/0/0</v>
      </c>
      <c r="K210" s="21" t="s">
        <v>124</v>
      </c>
      <c r="L210" s="22">
        <v>8180633.8700000001</v>
      </c>
      <c r="M210" s="22">
        <v>8219406.0999999996</v>
      </c>
      <c r="N210" s="20">
        <f>7994301.52+14850.67+357280.56</f>
        <v>8366432.7499999991</v>
      </c>
      <c r="O210" s="17">
        <f>7509849.5+2933</f>
        <v>7512782.5</v>
      </c>
      <c r="P210" s="17">
        <v>6363459.6299999999</v>
      </c>
      <c r="Q210" s="22">
        <v>5700000</v>
      </c>
      <c r="R210" s="22">
        <v>5700000</v>
      </c>
      <c r="S210" s="22">
        <v>5640000</v>
      </c>
      <c r="T210" s="166"/>
      <c r="V210" s="557"/>
    </row>
    <row r="211" spans="1:22" s="59" customFormat="1" ht="15" customHeight="1" outlineLevel="2" x14ac:dyDescent="0.25">
      <c r="A211" s="14">
        <v>3612</v>
      </c>
      <c r="B211" s="14">
        <v>2324</v>
      </c>
      <c r="C211" s="18">
        <v>2950</v>
      </c>
      <c r="D211" s="14">
        <v>30030</v>
      </c>
      <c r="E211" s="14">
        <v>0</v>
      </c>
      <c r="F211" s="14">
        <v>0</v>
      </c>
      <c r="G211" s="14">
        <v>0</v>
      </c>
      <c r="H211" s="14">
        <v>0</v>
      </c>
      <c r="I211" s="13">
        <v>0</v>
      </c>
      <c r="J211" s="14" t="str">
        <f>CONCATENATE(A211,"/",B211,"/",C211,"/",D211,"/",E211,"/",F211,"/",G211,"/",H211,"/",I211)</f>
        <v>3612/2324/2950/30030/0/0/0/0/0</v>
      </c>
      <c r="K211" s="21" t="s">
        <v>125</v>
      </c>
      <c r="L211" s="22">
        <v>46148.959999999999</v>
      </c>
      <c r="M211" s="22">
        <v>30249.8</v>
      </c>
      <c r="N211" s="20">
        <v>9537.73</v>
      </c>
      <c r="O211" s="17">
        <v>13930</v>
      </c>
      <c r="P211" s="17">
        <v>30594.7</v>
      </c>
      <c r="Q211" s="17">
        <v>10000</v>
      </c>
      <c r="R211" s="17">
        <v>10000</v>
      </c>
      <c r="S211" s="17">
        <v>15000</v>
      </c>
      <c r="T211" s="166"/>
      <c r="V211" s="557"/>
    </row>
    <row r="212" spans="1:22" s="59" customFormat="1" ht="15" customHeight="1" outlineLevel="2" x14ac:dyDescent="0.25">
      <c r="A212" s="14">
        <v>3612</v>
      </c>
      <c r="B212" s="14">
        <v>2324</v>
      </c>
      <c r="C212" s="18">
        <v>2950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3">
        <v>0</v>
      </c>
      <c r="J212" s="14" t="str">
        <f>CONCATENATE(A212,"/",B212,"/",C212,"/",D212,"/",E212,"/",F212,"/",G212,"/",H212,"/",I212)</f>
        <v>3612/2324/2950/0/0/0/0/0/0</v>
      </c>
      <c r="K212" s="21" t="s">
        <v>126</v>
      </c>
      <c r="L212" s="22">
        <v>61063.519999999997</v>
      </c>
      <c r="M212" s="22">
        <v>74234.11</v>
      </c>
      <c r="N212" s="20">
        <v>91380.24</v>
      </c>
      <c r="O212" s="17">
        <v>66353.22</v>
      </c>
      <c r="P212" s="17">
        <v>70442.23</v>
      </c>
      <c r="Q212" s="17">
        <v>50000</v>
      </c>
      <c r="R212" s="17">
        <v>50000</v>
      </c>
      <c r="S212" s="17">
        <v>50000</v>
      </c>
      <c r="T212" s="166"/>
      <c r="V212" s="557"/>
    </row>
    <row r="213" spans="1:22" s="59" customFormat="1" ht="15" customHeight="1" outlineLevel="2" x14ac:dyDescent="0.25">
      <c r="A213" s="14">
        <v>3612</v>
      </c>
      <c r="B213" s="14">
        <v>2132</v>
      </c>
      <c r="C213" s="18">
        <v>2950</v>
      </c>
      <c r="D213" s="14">
        <v>30030</v>
      </c>
      <c r="E213" s="14">
        <v>0</v>
      </c>
      <c r="F213" s="14">
        <v>0</v>
      </c>
      <c r="G213" s="14">
        <v>0</v>
      </c>
      <c r="H213" s="14">
        <v>7</v>
      </c>
      <c r="I213" s="13">
        <v>0</v>
      </c>
      <c r="J213" s="14" t="str">
        <f>CONCATENATE(A213,"/",B213,"/",C213,"/",D213,"/",E213,"/",F213,"/",G213,"/",H213,"/",I213)</f>
        <v>3612/2132/2950/30030/0/0/0/7/0</v>
      </c>
      <c r="K213" s="21" t="s">
        <v>3707</v>
      </c>
      <c r="L213" s="22"/>
      <c r="M213" s="22"/>
      <c r="N213" s="20"/>
      <c r="O213" s="17">
        <v>3972305.37</v>
      </c>
      <c r="P213" s="17">
        <v>1187888.8500000001</v>
      </c>
      <c r="Q213" s="17">
        <v>600000</v>
      </c>
      <c r="R213" s="17">
        <v>600000</v>
      </c>
      <c r="S213" s="17">
        <v>600000</v>
      </c>
      <c r="T213" s="166"/>
      <c r="V213" s="557"/>
    </row>
    <row r="214" spans="1:22" s="59" customFormat="1" ht="15" customHeight="1" outlineLevel="2" x14ac:dyDescent="0.25">
      <c r="A214" s="14">
        <v>3612</v>
      </c>
      <c r="B214" s="14">
        <v>2132</v>
      </c>
      <c r="C214" s="18">
        <v>2950</v>
      </c>
      <c r="D214" s="14">
        <v>39788</v>
      </c>
      <c r="E214" s="14">
        <v>0</v>
      </c>
      <c r="F214" s="14">
        <v>0</v>
      </c>
      <c r="G214" s="14">
        <v>0</v>
      </c>
      <c r="H214" s="14">
        <v>0</v>
      </c>
      <c r="I214" s="13">
        <v>0</v>
      </c>
      <c r="J214" s="14" t="str">
        <f>CONCATENATE(A214,"/",B214,"/",C214,"/",D214,"/",E214,"/",F214,"/",G214,"/",H214,"/",I214)</f>
        <v>3612/2132/2950/39788/0/0/0/0/0</v>
      </c>
      <c r="K214" s="21" t="s">
        <v>127</v>
      </c>
      <c r="L214" s="22">
        <v>866489.2</v>
      </c>
      <c r="M214" s="22">
        <v>887826.76</v>
      </c>
      <c r="N214" s="20">
        <f>813707.5+14775</f>
        <v>828482.5</v>
      </c>
      <c r="O214" s="17">
        <v>1315237.5900000001</v>
      </c>
      <c r="P214" s="17">
        <v>2115280</v>
      </c>
      <c r="Q214" s="17">
        <v>2042000</v>
      </c>
      <c r="R214" s="17">
        <v>2042000</v>
      </c>
      <c r="S214" s="17">
        <f>3200000-960000</f>
        <v>2240000</v>
      </c>
      <c r="T214" s="166" t="s">
        <v>5112</v>
      </c>
      <c r="V214" s="557"/>
    </row>
    <row r="215" spans="1:22" s="59" customFormat="1" ht="15" customHeight="1" outlineLevel="2" x14ac:dyDescent="0.25">
      <c r="A215" s="281">
        <v>3612</v>
      </c>
      <c r="B215" s="281">
        <v>2132</v>
      </c>
      <c r="C215" s="408">
        <v>2998</v>
      </c>
      <c r="D215" s="281">
        <v>39788</v>
      </c>
      <c r="E215" s="281">
        <v>0</v>
      </c>
      <c r="F215" s="281">
        <v>0</v>
      </c>
      <c r="G215" s="281">
        <v>0</v>
      </c>
      <c r="H215" s="281">
        <v>0</v>
      </c>
      <c r="I215" s="281">
        <v>0</v>
      </c>
      <c r="J215" s="382"/>
      <c r="K215" s="382" t="s">
        <v>5118</v>
      </c>
      <c r="L215" s="280"/>
      <c r="M215" s="280"/>
      <c r="N215" s="283"/>
      <c r="O215" s="68"/>
      <c r="P215" s="68"/>
      <c r="Q215" s="68"/>
      <c r="R215" s="68"/>
      <c r="S215" s="68">
        <v>960000</v>
      </c>
      <c r="T215" s="428"/>
      <c r="V215" s="557"/>
    </row>
    <row r="216" spans="1:22" s="59" customFormat="1" ht="32.25" customHeight="1" outlineLevel="2" x14ac:dyDescent="0.25">
      <c r="A216" s="14">
        <v>3612</v>
      </c>
      <c r="B216" s="14">
        <v>2111</v>
      </c>
      <c r="C216" s="18">
        <v>2950</v>
      </c>
      <c r="D216" s="14">
        <v>39788</v>
      </c>
      <c r="E216" s="14">
        <v>0</v>
      </c>
      <c r="F216" s="14">
        <v>0</v>
      </c>
      <c r="G216" s="14">
        <v>0</v>
      </c>
      <c r="H216" s="14">
        <v>0</v>
      </c>
      <c r="I216" s="13">
        <v>0</v>
      </c>
      <c r="J216" s="14" t="str">
        <f>CONCATENATE(A216,"/",B216,"/",C216,"/",D216,"/",E216,"/",F216,"/",G216,"/",H216,"/",I216)</f>
        <v>3612/2111/2950/39788/0/0/0/0/0</v>
      </c>
      <c r="K216" s="21" t="s">
        <v>128</v>
      </c>
      <c r="L216" s="22">
        <f>401619.15+56303.5</f>
        <v>457922.65</v>
      </c>
      <c r="M216" s="22">
        <f>327564.9+309529.25</f>
        <v>637094.15</v>
      </c>
      <c r="N216" s="20">
        <v>364627.1</v>
      </c>
      <c r="O216" s="17">
        <v>500454</v>
      </c>
      <c r="P216" s="17">
        <v>994979.35</v>
      </c>
      <c r="Q216" s="17">
        <v>885000</v>
      </c>
      <c r="R216" s="17">
        <v>885000</v>
      </c>
      <c r="S216" s="17">
        <v>1230000</v>
      </c>
      <c r="T216" s="166"/>
      <c r="V216" s="557"/>
    </row>
    <row r="217" spans="1:22" s="59" customFormat="1" ht="15" customHeight="1" outlineLevel="2" x14ac:dyDescent="0.25">
      <c r="A217" s="14">
        <v>3612</v>
      </c>
      <c r="B217" s="14">
        <v>2324</v>
      </c>
      <c r="C217" s="18">
        <v>2950</v>
      </c>
      <c r="D217" s="14">
        <v>39788</v>
      </c>
      <c r="E217" s="14">
        <v>0</v>
      </c>
      <c r="F217" s="14">
        <v>0</v>
      </c>
      <c r="G217" s="14">
        <v>0</v>
      </c>
      <c r="H217" s="14">
        <v>0</v>
      </c>
      <c r="I217" s="13">
        <v>0</v>
      </c>
      <c r="J217" s="14" t="str">
        <f>CONCATENATE(A217,"/",B217,"/",C217,"/",D217,"/",E217,"/",F217,"/",G217,"/",H217,"/",I217)</f>
        <v>3612/2324/2950/39788/0/0/0/0/0</v>
      </c>
      <c r="K217" s="21" t="s">
        <v>129</v>
      </c>
      <c r="L217" s="22">
        <v>26920.75</v>
      </c>
      <c r="M217" s="22">
        <v>84660.61</v>
      </c>
      <c r="N217" s="20"/>
      <c r="O217" s="17">
        <v>0</v>
      </c>
      <c r="P217" s="17"/>
      <c r="Q217" s="17">
        <v>2000</v>
      </c>
      <c r="R217" s="17">
        <v>2000</v>
      </c>
      <c r="S217" s="17"/>
      <c r="T217" s="166"/>
      <c r="V217" s="557"/>
    </row>
    <row r="218" spans="1:22" s="59" customFormat="1" ht="15" customHeight="1" outlineLevel="2" x14ac:dyDescent="0.25">
      <c r="A218" s="14">
        <v>3612</v>
      </c>
      <c r="B218" s="14">
        <v>2111</v>
      </c>
      <c r="C218" s="18">
        <v>2950</v>
      </c>
      <c r="D218" s="14">
        <v>30031</v>
      </c>
      <c r="E218" s="14">
        <v>0</v>
      </c>
      <c r="F218" s="14">
        <v>0</v>
      </c>
      <c r="G218" s="14">
        <v>0</v>
      </c>
      <c r="H218" s="14">
        <v>7</v>
      </c>
      <c r="I218" s="13">
        <v>0</v>
      </c>
      <c r="J218" s="14" t="str">
        <f>CONCATENATE(A218,"/",B218,"/",C218,"/",D218,"/",E218,"/",F218,"/",G218,"/",H218,"/",I218)</f>
        <v>3612/2111/2950/30031/0/0/0/7/0</v>
      </c>
      <c r="K218" s="21" t="s">
        <v>3704</v>
      </c>
      <c r="L218" s="22">
        <v>110508.43</v>
      </c>
      <c r="M218" s="22">
        <v>2102457.61</v>
      </c>
      <c r="N218" s="20">
        <v>3910844.33</v>
      </c>
      <c r="O218" s="17">
        <v>289463.13</v>
      </c>
      <c r="P218" s="17">
        <v>257802.06</v>
      </c>
      <c r="Q218" s="17">
        <v>150000</v>
      </c>
      <c r="R218" s="17">
        <v>150000</v>
      </c>
      <c r="S218" s="17">
        <v>200000</v>
      </c>
      <c r="T218" s="166"/>
      <c r="V218" s="557"/>
    </row>
    <row r="219" spans="1:22" s="59" customFormat="1" ht="15" customHeight="1" outlineLevel="2" x14ac:dyDescent="0.25">
      <c r="A219" s="237">
        <v>3613</v>
      </c>
      <c r="B219" s="237">
        <v>2111</v>
      </c>
      <c r="C219" s="237">
        <v>2950</v>
      </c>
      <c r="D219" s="237">
        <v>30031</v>
      </c>
      <c r="E219" s="237">
        <v>0</v>
      </c>
      <c r="F219" s="237">
        <v>0</v>
      </c>
      <c r="G219" s="237">
        <v>0</v>
      </c>
      <c r="H219" s="237">
        <v>7</v>
      </c>
      <c r="I219" s="237">
        <v>0</v>
      </c>
      <c r="J219" s="14" t="s">
        <v>4546</v>
      </c>
      <c r="K219" s="238" t="s">
        <v>2803</v>
      </c>
      <c r="L219" s="22"/>
      <c r="M219" s="22"/>
      <c r="N219" s="20"/>
      <c r="O219" s="17"/>
      <c r="P219" s="17">
        <v>2413.87</v>
      </c>
      <c r="Q219" s="17"/>
      <c r="R219" s="17"/>
      <c r="S219" s="17"/>
      <c r="T219" s="166"/>
      <c r="V219" s="557"/>
    </row>
    <row r="220" spans="1:22" s="59" customFormat="1" ht="15" customHeight="1" outlineLevel="2" x14ac:dyDescent="0.25">
      <c r="A220" s="14">
        <v>3322</v>
      </c>
      <c r="B220" s="14">
        <v>2111</v>
      </c>
      <c r="C220" s="18">
        <v>2950</v>
      </c>
      <c r="D220" s="14">
        <v>11003</v>
      </c>
      <c r="E220" s="14">
        <v>0</v>
      </c>
      <c r="F220" s="14">
        <v>0</v>
      </c>
      <c r="G220" s="14">
        <v>0</v>
      </c>
      <c r="H220" s="14">
        <v>0</v>
      </c>
      <c r="I220" s="13">
        <v>0</v>
      </c>
      <c r="J220" s="14" t="str">
        <f>CONCATENATE(A220,"/",B220,"/",C220,"/",D220,"/",E220,"/",F220,"/",G220,"/",H220,"/",I220)</f>
        <v>3322/2111/2950/11003/0/0/0/0/0</v>
      </c>
      <c r="K220" s="21" t="s">
        <v>130</v>
      </c>
      <c r="L220" s="22">
        <v>3952.5</v>
      </c>
      <c r="M220" s="22">
        <f>3485+4418+61551.9</f>
        <v>69454.899999999994</v>
      </c>
      <c r="N220" s="20">
        <v>3400</v>
      </c>
      <c r="O220" s="17">
        <f>1020+7614.8+62195.49</f>
        <v>70830.289999999994</v>
      </c>
      <c r="P220" s="17">
        <v>3449.91</v>
      </c>
      <c r="Q220" s="17"/>
      <c r="R220" s="17"/>
      <c r="S220" s="17"/>
      <c r="T220" s="166"/>
      <c r="V220" s="557"/>
    </row>
    <row r="221" spans="1:22" s="59" customFormat="1" ht="15" customHeight="1" outlineLevel="2" x14ac:dyDescent="0.25">
      <c r="A221" s="14">
        <v>2144</v>
      </c>
      <c r="B221" s="14">
        <v>2131</v>
      </c>
      <c r="C221" s="18">
        <v>2950</v>
      </c>
      <c r="D221" s="14">
        <v>39001</v>
      </c>
      <c r="E221" s="14">
        <v>0</v>
      </c>
      <c r="F221" s="14">
        <v>0</v>
      </c>
      <c r="G221" s="14">
        <v>0</v>
      </c>
      <c r="H221" s="14">
        <v>0</v>
      </c>
      <c r="I221" s="13">
        <v>0</v>
      </c>
      <c r="J221" s="14" t="str">
        <f>CONCATENATE(A221,"/",B221,"/",C221,"/",D221,"/",E221,"/",F221,"/",G221,"/",H221,"/",I221)</f>
        <v>2144/2131/2950/39001/0/0/0/0/0</v>
      </c>
      <c r="K221" s="21" t="s">
        <v>131</v>
      </c>
      <c r="L221" s="22">
        <v>0</v>
      </c>
      <c r="M221" s="22">
        <v>0</v>
      </c>
      <c r="N221" s="20"/>
      <c r="O221" s="17">
        <f>1260500+10000</f>
        <v>1270500</v>
      </c>
      <c r="P221" s="17">
        <v>314600</v>
      </c>
      <c r="Q221" s="17">
        <v>300000</v>
      </c>
      <c r="R221" s="17">
        <v>300000</v>
      </c>
      <c r="S221" s="17">
        <v>300000</v>
      </c>
      <c r="T221" s="166"/>
      <c r="V221" s="557"/>
    </row>
    <row r="222" spans="1:22" s="59" customFormat="1" ht="15" customHeight="1" outlineLevel="2" x14ac:dyDescent="0.25">
      <c r="A222" s="237">
        <v>3613</v>
      </c>
      <c r="B222" s="237">
        <v>2324</v>
      </c>
      <c r="C222" s="237">
        <v>2950</v>
      </c>
      <c r="D222" s="237">
        <v>16805</v>
      </c>
      <c r="E222" s="237">
        <v>0</v>
      </c>
      <c r="F222" s="237">
        <v>0</v>
      </c>
      <c r="G222" s="237">
        <v>0</v>
      </c>
      <c r="H222" s="237">
        <v>0</v>
      </c>
      <c r="I222" s="237">
        <v>0</v>
      </c>
      <c r="J222" s="14" t="s">
        <v>4596</v>
      </c>
      <c r="K222" s="238" t="s">
        <v>5090</v>
      </c>
      <c r="L222" s="22"/>
      <c r="M222" s="22"/>
      <c r="N222" s="20"/>
      <c r="O222" s="17"/>
      <c r="P222" s="17">
        <v>69240.929999999993</v>
      </c>
      <c r="Q222" s="17"/>
      <c r="R222" s="17"/>
      <c r="S222" s="17"/>
      <c r="T222" s="166"/>
      <c r="U222" s="39"/>
      <c r="V222" s="557"/>
    </row>
    <row r="223" spans="1:22" s="59" customFormat="1" ht="15" customHeight="1" outlineLevel="2" x14ac:dyDescent="0.25">
      <c r="A223" s="237">
        <v>3412</v>
      </c>
      <c r="B223" s="237">
        <v>2111</v>
      </c>
      <c r="C223" s="237">
        <v>2950</v>
      </c>
      <c r="D223" s="237">
        <v>16600</v>
      </c>
      <c r="E223" s="237">
        <v>0</v>
      </c>
      <c r="F223" s="237">
        <v>0</v>
      </c>
      <c r="G223" s="237">
        <v>0</v>
      </c>
      <c r="H223" s="237">
        <v>0</v>
      </c>
      <c r="I223" s="237">
        <v>0</v>
      </c>
      <c r="J223" s="14" t="s">
        <v>4539</v>
      </c>
      <c r="K223" s="238" t="s">
        <v>2567</v>
      </c>
      <c r="L223" s="22"/>
      <c r="M223" s="22"/>
      <c r="N223" s="20"/>
      <c r="O223" s="17"/>
      <c r="P223" s="17">
        <v>18753.599999999999</v>
      </c>
      <c r="Q223" s="17"/>
      <c r="R223" s="17"/>
      <c r="S223" s="17"/>
      <c r="T223" s="166"/>
      <c r="V223" s="557"/>
    </row>
    <row r="224" spans="1:22" s="59" customFormat="1" ht="15" customHeight="1" outlineLevel="2" x14ac:dyDescent="0.25">
      <c r="A224" s="237">
        <v>3412</v>
      </c>
      <c r="B224" s="237">
        <v>2324</v>
      </c>
      <c r="C224" s="237">
        <v>2950</v>
      </c>
      <c r="D224" s="237">
        <v>16600</v>
      </c>
      <c r="E224" s="237">
        <v>0</v>
      </c>
      <c r="F224" s="237">
        <v>0</v>
      </c>
      <c r="G224" s="237">
        <v>0</v>
      </c>
      <c r="H224" s="237">
        <v>0</v>
      </c>
      <c r="I224" s="237">
        <v>0</v>
      </c>
      <c r="J224" s="14" t="s">
        <v>4589</v>
      </c>
      <c r="K224" s="238" t="s">
        <v>2567</v>
      </c>
      <c r="L224" s="22"/>
      <c r="M224" s="22"/>
      <c r="N224" s="20"/>
      <c r="O224" s="17"/>
      <c r="P224" s="17">
        <v>6313.45</v>
      </c>
      <c r="Q224" s="17"/>
      <c r="R224" s="17"/>
      <c r="S224" s="17"/>
      <c r="T224" s="166"/>
      <c r="V224" s="557"/>
    </row>
    <row r="225" spans="1:22" s="59" customFormat="1" outlineLevel="2" x14ac:dyDescent="0.25">
      <c r="A225" s="237">
        <v>3412</v>
      </c>
      <c r="B225" s="237">
        <v>2324</v>
      </c>
      <c r="C225" s="237">
        <v>2950</v>
      </c>
      <c r="D225" s="237">
        <v>16001</v>
      </c>
      <c r="E225" s="237">
        <v>0</v>
      </c>
      <c r="F225" s="237">
        <v>0</v>
      </c>
      <c r="G225" s="237">
        <v>0</v>
      </c>
      <c r="H225" s="237">
        <v>0</v>
      </c>
      <c r="I225" s="237">
        <v>0</v>
      </c>
      <c r="J225" s="14" t="s">
        <v>4587</v>
      </c>
      <c r="K225" s="238" t="s">
        <v>2540</v>
      </c>
      <c r="L225" s="22"/>
      <c r="M225" s="22"/>
      <c r="N225" s="20"/>
      <c r="O225" s="17"/>
      <c r="P225" s="17">
        <v>2488</v>
      </c>
      <c r="Q225" s="17"/>
      <c r="R225" s="17"/>
      <c r="S225" s="17"/>
      <c r="T225" s="166"/>
      <c r="V225" s="557"/>
    </row>
    <row r="226" spans="1:22" s="59" customFormat="1" ht="15" customHeight="1" outlineLevel="2" x14ac:dyDescent="0.25">
      <c r="A226" s="237">
        <v>2143</v>
      </c>
      <c r="B226" s="237">
        <v>2324</v>
      </c>
      <c r="C226" s="237">
        <v>2950</v>
      </c>
      <c r="D226" s="237">
        <v>18669</v>
      </c>
      <c r="E226" s="237">
        <v>0</v>
      </c>
      <c r="F226" s="237">
        <v>0</v>
      </c>
      <c r="G226" s="237">
        <v>0</v>
      </c>
      <c r="H226" s="237">
        <v>0</v>
      </c>
      <c r="I226" s="237">
        <v>0</v>
      </c>
      <c r="J226" s="14" t="s">
        <v>4585</v>
      </c>
      <c r="K226" s="238" t="s">
        <v>5089</v>
      </c>
      <c r="L226" s="22"/>
      <c r="M226" s="22"/>
      <c r="N226" s="20"/>
      <c r="O226" s="17"/>
      <c r="P226" s="17">
        <v>5466.94</v>
      </c>
      <c r="Q226" s="17"/>
      <c r="R226" s="17"/>
      <c r="S226" s="17"/>
      <c r="T226" s="166"/>
      <c r="V226" s="557"/>
    </row>
    <row r="227" spans="1:22" s="59" customFormat="1" ht="15" customHeight="1" outlineLevel="2" x14ac:dyDescent="0.25">
      <c r="A227" s="14">
        <v>3613</v>
      </c>
      <c r="B227" s="14">
        <v>2132</v>
      </c>
      <c r="C227" s="18">
        <v>2950</v>
      </c>
      <c r="D227" s="14">
        <v>12017</v>
      </c>
      <c r="E227" s="14">
        <v>0</v>
      </c>
      <c r="F227" s="14">
        <v>0</v>
      </c>
      <c r="G227" s="14">
        <v>0</v>
      </c>
      <c r="H227" s="14">
        <v>0</v>
      </c>
      <c r="I227" s="13">
        <v>0</v>
      </c>
      <c r="J227" s="14" t="str">
        <f>CONCATENATE(A227,"/",B227,"/",C227,"/",D227,"/",E227,"/",F227,"/",G227,"/",H227,"/",I227)</f>
        <v>3613/2132/2950/12017/0/0/0/0/0</v>
      </c>
      <c r="K227" s="21" t="s">
        <v>133</v>
      </c>
      <c r="L227" s="22">
        <v>120000</v>
      </c>
      <c r="M227" s="22">
        <v>120000</v>
      </c>
      <c r="N227" s="20">
        <v>71400.2</v>
      </c>
      <c r="O227" s="17">
        <f>82240.32+30840.12</f>
        <v>113080.44</v>
      </c>
      <c r="P227" s="17">
        <v>128048.16</v>
      </c>
      <c r="Q227" s="17">
        <v>128000</v>
      </c>
      <c r="R227" s="17">
        <v>128000</v>
      </c>
      <c r="S227" s="17">
        <f>140853-42255</f>
        <v>98598</v>
      </c>
      <c r="T227" s="166" t="s">
        <v>5114</v>
      </c>
      <c r="U227" s="39"/>
      <c r="V227" s="557"/>
    </row>
    <row r="228" spans="1:22" s="59" customFormat="1" ht="15" customHeight="1" outlineLevel="2" x14ac:dyDescent="0.25">
      <c r="A228" s="281">
        <v>3613</v>
      </c>
      <c r="B228" s="281">
        <v>2132</v>
      </c>
      <c r="C228" s="408">
        <v>2998</v>
      </c>
      <c r="D228" s="281">
        <v>12017</v>
      </c>
      <c r="E228" s="281">
        <v>0</v>
      </c>
      <c r="F228" s="281">
        <v>0</v>
      </c>
      <c r="G228" s="281">
        <v>0</v>
      </c>
      <c r="H228" s="281">
        <v>0</v>
      </c>
      <c r="I228" s="281">
        <v>0</v>
      </c>
      <c r="J228" s="382"/>
      <c r="K228" s="382" t="s">
        <v>5120</v>
      </c>
      <c r="L228" s="280"/>
      <c r="M228" s="280"/>
      <c r="N228" s="283"/>
      <c r="O228" s="68"/>
      <c r="P228" s="68"/>
      <c r="Q228" s="68"/>
      <c r="R228" s="68"/>
      <c r="S228" s="68">
        <v>42255</v>
      </c>
      <c r="T228" s="428"/>
      <c r="V228" s="557"/>
    </row>
    <row r="229" spans="1:22" s="59" customFormat="1" ht="15" customHeight="1" outlineLevel="2" x14ac:dyDescent="0.25">
      <c r="A229" s="14">
        <v>3613</v>
      </c>
      <c r="B229" s="14">
        <v>2132</v>
      </c>
      <c r="C229" s="18">
        <v>2950</v>
      </c>
      <c r="D229" s="14">
        <v>12018</v>
      </c>
      <c r="E229" s="14">
        <v>0</v>
      </c>
      <c r="F229" s="14">
        <v>0</v>
      </c>
      <c r="G229" s="14">
        <v>0</v>
      </c>
      <c r="H229" s="14">
        <v>0</v>
      </c>
      <c r="I229" s="13">
        <v>0</v>
      </c>
      <c r="J229" s="14" t="str">
        <f>CONCATENATE(A229,"/",B229,"/",C229,"/",D229,"/",E229,"/",F229,"/",G229,"/",H229,"/",I229)</f>
        <v>3613/2132/2950/12018/0/0/0/0/0</v>
      </c>
      <c r="K229" s="21" t="s">
        <v>134</v>
      </c>
      <c r="L229" s="22">
        <v>325270.38</v>
      </c>
      <c r="M229" s="22">
        <v>153795.84</v>
      </c>
      <c r="N229" s="20">
        <v>92147.62</v>
      </c>
      <c r="O229" s="17">
        <f>160428.49+39526.24</f>
        <v>199954.72999999998</v>
      </c>
      <c r="P229" s="17">
        <v>357200.76</v>
      </c>
      <c r="Q229" s="17">
        <v>357200</v>
      </c>
      <c r="R229" s="17">
        <v>357200</v>
      </c>
      <c r="S229" s="17">
        <f>392920-117875</f>
        <v>275045</v>
      </c>
      <c r="T229" s="166" t="s">
        <v>5115</v>
      </c>
      <c r="U229" s="39"/>
      <c r="V229" s="557"/>
    </row>
    <row r="230" spans="1:22" s="59" customFormat="1" ht="15" customHeight="1" outlineLevel="2" x14ac:dyDescent="0.25">
      <c r="A230" s="281">
        <v>3613</v>
      </c>
      <c r="B230" s="281">
        <v>2132</v>
      </c>
      <c r="C230" s="408">
        <v>2998</v>
      </c>
      <c r="D230" s="281">
        <v>12018</v>
      </c>
      <c r="E230" s="281">
        <v>0</v>
      </c>
      <c r="F230" s="281">
        <v>0</v>
      </c>
      <c r="G230" s="281">
        <v>0</v>
      </c>
      <c r="H230" s="281">
        <v>0</v>
      </c>
      <c r="I230" s="281">
        <v>0</v>
      </c>
      <c r="J230" s="382"/>
      <c r="K230" s="382" t="s">
        <v>5121</v>
      </c>
      <c r="L230" s="280"/>
      <c r="M230" s="280"/>
      <c r="N230" s="283"/>
      <c r="O230" s="68"/>
      <c r="P230" s="68"/>
      <c r="Q230" s="68"/>
      <c r="R230" s="68"/>
      <c r="S230" s="68">
        <v>117875</v>
      </c>
      <c r="T230" s="428"/>
      <c r="V230" s="557"/>
    </row>
    <row r="231" spans="1:22" s="59" customFormat="1" ht="15" customHeight="1" outlineLevel="2" x14ac:dyDescent="0.25">
      <c r="A231" s="14">
        <v>1037</v>
      </c>
      <c r="B231" s="14">
        <v>2131</v>
      </c>
      <c r="C231" s="18">
        <v>2950</v>
      </c>
      <c r="D231" s="14">
        <v>30035</v>
      </c>
      <c r="E231" s="14">
        <v>0</v>
      </c>
      <c r="F231" s="14">
        <v>0</v>
      </c>
      <c r="G231" s="14">
        <v>0</v>
      </c>
      <c r="H231" s="14">
        <v>0</v>
      </c>
      <c r="I231" s="13">
        <v>0</v>
      </c>
      <c r="J231" s="14" t="str">
        <f t="shared" ref="J231:J236" si="35">CONCATENATE(A231,"/",B231,"/",C231,"/",D231,"/",E231,"/",F231,"/",G231,"/",H231,"/",I231)</f>
        <v>1037/2131/2950/30035/0/0/0/0/0</v>
      </c>
      <c r="K231" s="21" t="s">
        <v>135</v>
      </c>
      <c r="L231" s="22">
        <v>9516479.3900000006</v>
      </c>
      <c r="M231" s="22">
        <v>5760399.8099999996</v>
      </c>
      <c r="N231" s="20">
        <v>9720409.1600000001</v>
      </c>
      <c r="O231" s="17">
        <v>9755425.3499999996</v>
      </c>
      <c r="P231" s="17">
        <v>24943002.920000002</v>
      </c>
      <c r="Q231" s="17">
        <v>4800000</v>
      </c>
      <c r="R231" s="17">
        <v>4800000</v>
      </c>
      <c r="S231" s="17">
        <v>4800000</v>
      </c>
      <c r="T231" s="166"/>
      <c r="V231" s="557"/>
    </row>
    <row r="232" spans="1:22" s="59" customFormat="1" ht="15" customHeight="1" outlineLevel="2" x14ac:dyDescent="0.25">
      <c r="A232" s="14">
        <v>1037</v>
      </c>
      <c r="B232" s="14">
        <v>2322</v>
      </c>
      <c r="C232" s="18">
        <v>2950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3">
        <v>0</v>
      </c>
      <c r="J232" s="14" t="str">
        <f t="shared" si="35"/>
        <v>1037/2322/2950/0/0/0/0/0/0</v>
      </c>
      <c r="K232" s="21" t="s">
        <v>136</v>
      </c>
      <c r="L232" s="22">
        <v>990000</v>
      </c>
      <c r="M232" s="22">
        <v>566515</v>
      </c>
      <c r="N232" s="20">
        <v>764880</v>
      </c>
      <c r="O232" s="17">
        <v>328442</v>
      </c>
      <c r="P232" s="17">
        <v>612865</v>
      </c>
      <c r="Q232" s="17"/>
      <c r="R232" s="17"/>
      <c r="S232" s="17"/>
      <c r="T232" s="57"/>
      <c r="V232" s="557"/>
    </row>
    <row r="233" spans="1:22" s="59" customFormat="1" ht="15" customHeight="1" outlineLevel="2" x14ac:dyDescent="0.25">
      <c r="A233" s="14">
        <v>3613</v>
      </c>
      <c r="B233" s="14">
        <v>2133</v>
      </c>
      <c r="C233" s="18">
        <v>2950</v>
      </c>
      <c r="D233" s="14">
        <v>30036</v>
      </c>
      <c r="E233" s="14">
        <v>0</v>
      </c>
      <c r="F233" s="14">
        <v>0</v>
      </c>
      <c r="G233" s="14">
        <v>0</v>
      </c>
      <c r="H233" s="14">
        <v>0</v>
      </c>
      <c r="I233" s="13">
        <v>0</v>
      </c>
      <c r="J233" s="14" t="str">
        <f t="shared" si="35"/>
        <v>3613/2133/2950/30036/0/0/0/0/0</v>
      </c>
      <c r="K233" s="21" t="s">
        <v>137</v>
      </c>
      <c r="L233" s="22">
        <v>91064.66</v>
      </c>
      <c r="M233" s="22">
        <v>62413.52</v>
      </c>
      <c r="N233" s="20">
        <v>2061</v>
      </c>
      <c r="O233" s="17">
        <v>51166.239999999998</v>
      </c>
      <c r="P233" s="17">
        <v>97144.02</v>
      </c>
      <c r="Q233" s="17">
        <v>5300</v>
      </c>
      <c r="R233" s="17">
        <v>5300</v>
      </c>
      <c r="S233" s="17">
        <v>5244</v>
      </c>
      <c r="T233" s="166"/>
      <c r="U233" s="39"/>
      <c r="V233" s="557"/>
    </row>
    <row r="234" spans="1:22" s="59" customFormat="1" ht="15" customHeight="1" outlineLevel="2" x14ac:dyDescent="0.25">
      <c r="A234" s="14">
        <v>3613</v>
      </c>
      <c r="B234" s="14">
        <v>2111</v>
      </c>
      <c r="C234" s="18">
        <v>2950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3">
        <v>0</v>
      </c>
      <c r="J234" s="14" t="str">
        <f t="shared" si="35"/>
        <v>3613/2111/2950/0/0/0/0/0/0</v>
      </c>
      <c r="K234" s="21" t="s">
        <v>138</v>
      </c>
      <c r="L234" s="22">
        <v>959650.94</v>
      </c>
      <c r="M234" s="22">
        <v>949539.39</v>
      </c>
      <c r="N234" s="20">
        <v>765831.31</v>
      </c>
      <c r="O234" s="17">
        <v>708199.04</v>
      </c>
      <c r="P234" s="17">
        <v>941939.43</v>
      </c>
      <c r="Q234" s="17">
        <v>1200000</v>
      </c>
      <c r="R234" s="17">
        <v>1200000</v>
      </c>
      <c r="S234" s="17">
        <v>1100000</v>
      </c>
      <c r="T234" s="166"/>
      <c r="V234" s="557"/>
    </row>
    <row r="235" spans="1:22" s="59" customFormat="1" ht="15" customHeight="1" outlineLevel="2" x14ac:dyDescent="0.25">
      <c r="A235" s="14">
        <v>3613</v>
      </c>
      <c r="B235" s="14">
        <v>2322</v>
      </c>
      <c r="C235" s="18">
        <v>2950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3">
        <v>0</v>
      </c>
      <c r="J235" s="14" t="str">
        <f t="shared" si="35"/>
        <v>3613/2322/2950/0/0/0/0/0/0</v>
      </c>
      <c r="K235" s="21" t="s">
        <v>3720</v>
      </c>
      <c r="L235" s="22"/>
      <c r="M235" s="22"/>
      <c r="N235" s="20">
        <v>365504</v>
      </c>
      <c r="O235" s="17">
        <v>138181</v>
      </c>
      <c r="P235" s="17">
        <v>457372</v>
      </c>
      <c r="Q235" s="17">
        <v>50000</v>
      </c>
      <c r="R235" s="17">
        <v>355958</v>
      </c>
      <c r="S235" s="17">
        <v>50000</v>
      </c>
      <c r="T235" s="166"/>
      <c r="U235" s="39"/>
      <c r="V235" s="557"/>
    </row>
    <row r="236" spans="1:22" s="59" customFormat="1" ht="15" customHeight="1" outlineLevel="2" x14ac:dyDescent="0.25">
      <c r="A236" s="14">
        <v>3613</v>
      </c>
      <c r="B236" s="14">
        <v>2132</v>
      </c>
      <c r="C236" s="18">
        <v>2950</v>
      </c>
      <c r="D236" s="14">
        <v>30036</v>
      </c>
      <c r="E236" s="14">
        <v>0</v>
      </c>
      <c r="F236" s="14">
        <v>0</v>
      </c>
      <c r="G236" s="14">
        <v>0</v>
      </c>
      <c r="H236" s="14">
        <v>0</v>
      </c>
      <c r="I236" s="13">
        <v>0</v>
      </c>
      <c r="J236" s="14" t="str">
        <f t="shared" si="35"/>
        <v>3613/2132/2950/30036/0/0/0/0/0</v>
      </c>
      <c r="K236" s="21" t="s">
        <v>139</v>
      </c>
      <c r="L236" s="22">
        <f>6608998.38+3220</f>
        <v>6612218.3799999999</v>
      </c>
      <c r="M236" s="22">
        <f>6154352.58+9360</f>
        <v>6163712.5800000001</v>
      </c>
      <c r="N236" s="20">
        <v>2689136.88</v>
      </c>
      <c r="O236" s="17">
        <f>4622569.03+1228213.9+9428+2650+544500</f>
        <v>6407360.9299999997</v>
      </c>
      <c r="P236" s="17">
        <v>5641363.8200000003</v>
      </c>
      <c r="Q236" s="22">
        <v>6578900</v>
      </c>
      <c r="R236" s="22">
        <v>6578900</v>
      </c>
      <c r="S236" s="22">
        <f>6804437-2041330</f>
        <v>4763107</v>
      </c>
      <c r="T236" s="166" t="s">
        <v>5116</v>
      </c>
      <c r="U236" s="39"/>
      <c r="V236" s="557"/>
    </row>
    <row r="237" spans="1:22" s="59" customFormat="1" ht="15" customHeight="1" outlineLevel="2" x14ac:dyDescent="0.25">
      <c r="A237" s="281">
        <v>3613</v>
      </c>
      <c r="B237" s="281">
        <v>2132</v>
      </c>
      <c r="C237" s="408">
        <v>2998</v>
      </c>
      <c r="D237" s="281">
        <v>30036</v>
      </c>
      <c r="E237" s="281">
        <v>0</v>
      </c>
      <c r="F237" s="281">
        <v>0</v>
      </c>
      <c r="G237" s="281">
        <v>0</v>
      </c>
      <c r="H237" s="281">
        <v>0</v>
      </c>
      <c r="I237" s="281">
        <v>0</v>
      </c>
      <c r="J237" s="382"/>
      <c r="K237" s="382" t="s">
        <v>5122</v>
      </c>
      <c r="L237" s="280"/>
      <c r="M237" s="280"/>
      <c r="N237" s="283"/>
      <c r="O237" s="68"/>
      <c r="P237" s="68"/>
      <c r="Q237" s="68"/>
      <c r="R237" s="68"/>
      <c r="S237" s="68">
        <v>2041330</v>
      </c>
      <c r="T237" s="428"/>
      <c r="V237" s="557"/>
    </row>
    <row r="238" spans="1:22" s="59" customFormat="1" ht="15" customHeight="1" outlineLevel="2" x14ac:dyDescent="0.25">
      <c r="A238" s="14">
        <v>3613</v>
      </c>
      <c r="B238" s="14">
        <v>2132</v>
      </c>
      <c r="C238" s="18">
        <v>2950</v>
      </c>
      <c r="D238" s="14">
        <v>30021</v>
      </c>
      <c r="E238" s="14">
        <v>0</v>
      </c>
      <c r="F238" s="14">
        <v>0</v>
      </c>
      <c r="G238" s="14">
        <v>0</v>
      </c>
      <c r="H238" s="14">
        <v>7</v>
      </c>
      <c r="I238" s="13">
        <v>0</v>
      </c>
      <c r="J238" s="14" t="str">
        <f>CONCATENATE(A238,"/",B238,"/",C238,"/",D238,"/",E238,"/",F238,"/",G238,"/",H238,"/",I238)</f>
        <v>3613/2132/2950/30021/0/0/0/7/0</v>
      </c>
      <c r="K238" s="21" t="s">
        <v>3706</v>
      </c>
      <c r="L238" s="22"/>
      <c r="M238" s="22"/>
      <c r="N238" s="20"/>
      <c r="O238" s="17">
        <v>0</v>
      </c>
      <c r="P238" s="17"/>
      <c r="Q238" s="165"/>
      <c r="R238" s="165"/>
      <c r="S238" s="165"/>
      <c r="T238" s="166"/>
      <c r="U238" s="39"/>
      <c r="V238" s="557"/>
    </row>
    <row r="239" spans="1:22" s="59" customFormat="1" ht="15" customHeight="1" outlineLevel="2" x14ac:dyDescent="0.25">
      <c r="A239" s="237">
        <v>3613</v>
      </c>
      <c r="B239" s="237">
        <v>2324</v>
      </c>
      <c r="C239" s="237">
        <v>2950</v>
      </c>
      <c r="D239" s="237">
        <v>69400</v>
      </c>
      <c r="E239" s="237">
        <v>0</v>
      </c>
      <c r="F239" s="237">
        <v>0</v>
      </c>
      <c r="G239" s="237">
        <v>0</v>
      </c>
      <c r="H239" s="237">
        <v>0</v>
      </c>
      <c r="I239" s="237">
        <v>0</v>
      </c>
      <c r="J239" s="14" t="s">
        <v>4598</v>
      </c>
      <c r="K239" s="238" t="s">
        <v>5091</v>
      </c>
      <c r="L239" s="22"/>
      <c r="M239" s="22"/>
      <c r="N239" s="20"/>
      <c r="O239" s="17"/>
      <c r="P239" s="17">
        <v>360248.55</v>
      </c>
      <c r="Q239" s="17"/>
      <c r="R239" s="17"/>
      <c r="S239" s="17"/>
      <c r="T239" s="166"/>
      <c r="U239" s="39"/>
      <c r="V239" s="557"/>
    </row>
    <row r="240" spans="1:22" s="59" customFormat="1" ht="15" customHeight="1" outlineLevel="2" x14ac:dyDescent="0.25">
      <c r="A240" s="14">
        <v>3613</v>
      </c>
      <c r="B240" s="14">
        <v>2111</v>
      </c>
      <c r="C240" s="18">
        <v>2950</v>
      </c>
      <c r="D240" s="14">
        <v>30021</v>
      </c>
      <c r="E240" s="14">
        <v>0</v>
      </c>
      <c r="F240" s="14">
        <v>0</v>
      </c>
      <c r="G240" s="14">
        <v>0</v>
      </c>
      <c r="H240" s="14">
        <v>0</v>
      </c>
      <c r="I240" s="13">
        <v>0</v>
      </c>
      <c r="J240" s="14" t="str">
        <f>CONCATENATE(A240,"/",B240,"/",C240,"/",D240,"/",E240,"/",F240,"/",G240,"/",H240,"/",I240)</f>
        <v>3613/2111/2950/30021/0/0/0/0/0</v>
      </c>
      <c r="K240" s="21" t="s">
        <v>140</v>
      </c>
      <c r="L240" s="22">
        <f>3776410.71+11557+623+2500+134</f>
        <v>3791224.71</v>
      </c>
      <c r="M240" s="22">
        <f>4078507.07+24844.21+5480.99+7452.42+2667.99-6710+4800+277+3277+4000</f>
        <v>4124596.68</v>
      </c>
      <c r="N240" s="20">
        <f>4219887.39+900</f>
        <v>4220787.3899999997</v>
      </c>
      <c r="O240" s="17">
        <f>3978317.36+51+14090</f>
        <v>3992458.36</v>
      </c>
      <c r="P240" s="17">
        <v>4272167.18</v>
      </c>
      <c r="Q240" s="17">
        <v>3000000</v>
      </c>
      <c r="R240" s="17">
        <v>3000000</v>
      </c>
      <c r="S240" s="17">
        <v>3400000</v>
      </c>
      <c r="T240" s="166"/>
      <c r="V240" s="557"/>
    </row>
    <row r="241" spans="1:22" s="59" customFormat="1" ht="15" customHeight="1" outlineLevel="2" x14ac:dyDescent="0.25">
      <c r="A241" s="14">
        <v>3613</v>
      </c>
      <c r="B241" s="14">
        <v>2111</v>
      </c>
      <c r="C241" s="18">
        <v>2950</v>
      </c>
      <c r="D241" s="14">
        <v>30021</v>
      </c>
      <c r="E241" s="14">
        <v>0</v>
      </c>
      <c r="F241" s="14">
        <v>0</v>
      </c>
      <c r="G241" s="14">
        <v>0</v>
      </c>
      <c r="H241" s="14">
        <v>7</v>
      </c>
      <c r="I241" s="13">
        <v>0</v>
      </c>
      <c r="J241" s="14" t="str">
        <f>CONCATENATE(A241,"/",B241,"/",C241,"/",D241,"/",E241,"/",F241,"/",G241,"/",H241,"/",I241)</f>
        <v>3613/2111/2950/30021/0/0/0/7/0</v>
      </c>
      <c r="K241" s="21" t="s">
        <v>3705</v>
      </c>
      <c r="L241" s="22">
        <v>11165.53</v>
      </c>
      <c r="M241" s="22">
        <v>452505.76</v>
      </c>
      <c r="N241" s="20">
        <f>1774105.21+2371</f>
        <v>1776476.21</v>
      </c>
      <c r="O241" s="17">
        <v>37053.050000000003</v>
      </c>
      <c r="P241" s="17">
        <v>37416.660000000003</v>
      </c>
      <c r="Q241" s="17"/>
      <c r="R241" s="17"/>
      <c r="S241" s="17"/>
      <c r="T241" s="166"/>
      <c r="V241" s="557"/>
    </row>
    <row r="242" spans="1:22" s="59" customFormat="1" ht="15" customHeight="1" outlineLevel="2" x14ac:dyDescent="0.25">
      <c r="A242" s="14">
        <v>3632</v>
      </c>
      <c r="B242" s="14">
        <v>2111</v>
      </c>
      <c r="C242" s="18">
        <v>2950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3">
        <v>0</v>
      </c>
      <c r="J242" s="14" t="str">
        <f>CONCATENATE(A242,"/",B242,"/",C242,"/",D242,"/",E242,"/",F242,"/",G242,"/",H242,"/",I242)</f>
        <v>3632/2111/2950/0/0/0/0/0/0</v>
      </c>
      <c r="K242" s="21" t="s">
        <v>141</v>
      </c>
      <c r="L242" s="22">
        <v>769879</v>
      </c>
      <c r="M242" s="22">
        <v>762191.25</v>
      </c>
      <c r="N242" s="20">
        <v>917297.5</v>
      </c>
      <c r="O242" s="17">
        <f>1170044.5+831</f>
        <v>1170875.5</v>
      </c>
      <c r="P242" s="17">
        <v>1108439</v>
      </c>
      <c r="Q242" s="17">
        <v>900000</v>
      </c>
      <c r="R242" s="17">
        <v>900000</v>
      </c>
      <c r="S242" s="17">
        <v>850000</v>
      </c>
      <c r="T242" s="166"/>
      <c r="U242" s="39"/>
      <c r="V242" s="557"/>
    </row>
    <row r="243" spans="1:22" s="59" customFormat="1" ht="15" customHeight="1" outlineLevel="2" x14ac:dyDescent="0.25">
      <c r="A243" s="237">
        <v>3613</v>
      </c>
      <c r="B243" s="237">
        <v>2324</v>
      </c>
      <c r="C243" s="237">
        <v>2950</v>
      </c>
      <c r="D243" s="237">
        <v>69295</v>
      </c>
      <c r="E243" s="237">
        <v>0</v>
      </c>
      <c r="F243" s="237">
        <v>0</v>
      </c>
      <c r="G243" s="237">
        <v>0</v>
      </c>
      <c r="H243" s="237">
        <v>0</v>
      </c>
      <c r="I243" s="237">
        <v>0</v>
      </c>
      <c r="J243" s="14" t="s">
        <v>4597</v>
      </c>
      <c r="K243" s="238" t="s">
        <v>3510</v>
      </c>
      <c r="L243" s="22"/>
      <c r="M243" s="22"/>
      <c r="N243" s="20"/>
      <c r="O243" s="17"/>
      <c r="P243" s="17">
        <v>1045</v>
      </c>
      <c r="Q243" s="17"/>
      <c r="R243" s="17"/>
      <c r="S243" s="17"/>
      <c r="T243" s="166"/>
      <c r="U243" s="39"/>
      <c r="V243" s="557"/>
    </row>
    <row r="244" spans="1:22" s="59" customFormat="1" ht="15" customHeight="1" outlineLevel="2" x14ac:dyDescent="0.25">
      <c r="A244" s="237">
        <v>3412</v>
      </c>
      <c r="B244" s="237">
        <v>2132</v>
      </c>
      <c r="C244" s="237">
        <v>2950</v>
      </c>
      <c r="D244" s="237">
        <v>16521</v>
      </c>
      <c r="E244" s="237">
        <v>0</v>
      </c>
      <c r="F244" s="237">
        <v>0</v>
      </c>
      <c r="G244" s="237">
        <v>0</v>
      </c>
      <c r="H244" s="237">
        <v>0</v>
      </c>
      <c r="I244" s="237">
        <v>0</v>
      </c>
      <c r="J244" s="14" t="s">
        <v>4558</v>
      </c>
      <c r="K244" s="238" t="s">
        <v>2566</v>
      </c>
      <c r="L244" s="22"/>
      <c r="M244" s="22"/>
      <c r="N244" s="20"/>
      <c r="O244" s="17"/>
      <c r="P244" s="17">
        <v>-1800</v>
      </c>
      <c r="Q244" s="17"/>
      <c r="R244" s="17"/>
      <c r="S244" s="17"/>
      <c r="T244" s="166"/>
      <c r="V244" s="557"/>
    </row>
    <row r="245" spans="1:22" s="59" customFormat="1" ht="15" customHeight="1" outlineLevel="2" x14ac:dyDescent="0.25">
      <c r="A245" s="14">
        <v>3612</v>
      </c>
      <c r="B245" s="14">
        <v>2324</v>
      </c>
      <c r="C245" s="18">
        <v>2950</v>
      </c>
      <c r="D245" s="14">
        <v>69200</v>
      </c>
      <c r="E245" s="14">
        <v>0</v>
      </c>
      <c r="F245" s="14">
        <v>0</v>
      </c>
      <c r="G245" s="14">
        <v>0</v>
      </c>
      <c r="H245" s="14">
        <v>0</v>
      </c>
      <c r="I245" s="13">
        <v>0</v>
      </c>
      <c r="J245" s="14" t="str">
        <f>CONCATENATE(A245,"/",B245,"/",C245,"/",D245,"/",E245,"/",F245,"/",G245,"/",H245,"/",I245)</f>
        <v>3612/2324/2950/69200/0/0/0/0/0</v>
      </c>
      <c r="K245" s="21" t="s">
        <v>3793</v>
      </c>
      <c r="L245" s="165">
        <f>112611+11760+10898+3500+500000</f>
        <v>638769</v>
      </c>
      <c r="M245" s="165">
        <f>1089417.41+900+3988.12+400005</f>
        <v>1494310.53</v>
      </c>
      <c r="N245" s="31">
        <f>763156.4+500000+60500+450000-10890</f>
        <v>1762766.4</v>
      </c>
      <c r="O245" s="17">
        <f>86703.89+977637.76</f>
        <v>1064341.6499999999</v>
      </c>
      <c r="P245" s="17">
        <v>91681.71</v>
      </c>
      <c r="Q245" s="165"/>
      <c r="R245" s="165"/>
      <c r="S245" s="165"/>
      <c r="T245" s="166"/>
      <c r="V245" s="557"/>
    </row>
    <row r="246" spans="1:22" s="59" customFormat="1" ht="30" customHeight="1" outlineLevel="2" x14ac:dyDescent="0.25">
      <c r="A246" s="14">
        <v>3639</v>
      </c>
      <c r="B246" s="14">
        <v>2131</v>
      </c>
      <c r="C246" s="18">
        <v>2950</v>
      </c>
      <c r="D246" s="14">
        <v>30035</v>
      </c>
      <c r="E246" s="14">
        <v>0</v>
      </c>
      <c r="F246" s="14">
        <v>0</v>
      </c>
      <c r="G246" s="14">
        <v>0</v>
      </c>
      <c r="H246" s="14">
        <v>0</v>
      </c>
      <c r="I246" s="13">
        <v>0</v>
      </c>
      <c r="J246" s="14" t="str">
        <f>CONCATENATE(A246,"/",B246,"/",C246,"/",D246,"/",E246,"/",F246,"/",G246,"/",H246,"/",I246)</f>
        <v>3639/2131/2950/30035/0/0/0/0/0</v>
      </c>
      <c r="K246" s="21" t="s">
        <v>142</v>
      </c>
      <c r="L246" s="22">
        <v>1595499.92</v>
      </c>
      <c r="M246" s="22">
        <v>1489715.78</v>
      </c>
      <c r="N246" s="20">
        <v>1351287.64</v>
      </c>
      <c r="O246" s="17">
        <v>1888012.18</v>
      </c>
      <c r="P246" s="17">
        <v>1532347.84</v>
      </c>
      <c r="Q246" s="17">
        <v>1400000</v>
      </c>
      <c r="R246" s="17">
        <v>1400000</v>
      </c>
      <c r="S246" s="17">
        <v>1400000</v>
      </c>
      <c r="T246" s="166"/>
      <c r="U246" s="39"/>
      <c r="V246" s="557"/>
    </row>
    <row r="247" spans="1:22" s="59" customFormat="1" ht="30" customHeight="1" outlineLevel="2" x14ac:dyDescent="0.25">
      <c r="A247" s="237">
        <v>3412</v>
      </c>
      <c r="B247" s="237">
        <v>2133</v>
      </c>
      <c r="C247" s="237">
        <v>2950</v>
      </c>
      <c r="D247" s="237">
        <v>30036</v>
      </c>
      <c r="E247" s="237">
        <v>0</v>
      </c>
      <c r="F247" s="237">
        <v>0</v>
      </c>
      <c r="G247" s="237">
        <v>0</v>
      </c>
      <c r="H247" s="237">
        <v>0</v>
      </c>
      <c r="I247" s="237">
        <v>0</v>
      </c>
      <c r="J247" s="14" t="s">
        <v>4569</v>
      </c>
      <c r="K247" s="238" t="s">
        <v>2808</v>
      </c>
      <c r="L247" s="22"/>
      <c r="M247" s="22"/>
      <c r="N247" s="20"/>
      <c r="O247" s="17"/>
      <c r="P247" s="17">
        <v>200</v>
      </c>
      <c r="Q247" s="17"/>
      <c r="R247" s="17"/>
      <c r="S247" s="17"/>
      <c r="T247" s="166"/>
      <c r="V247" s="557"/>
    </row>
    <row r="248" spans="1:22" s="59" customFormat="1" ht="15" customHeight="1" outlineLevel="2" x14ac:dyDescent="0.25">
      <c r="A248" s="237">
        <v>3613</v>
      </c>
      <c r="B248" s="237">
        <v>2132</v>
      </c>
      <c r="C248" s="237">
        <v>2950</v>
      </c>
      <c r="D248" s="237">
        <v>30036</v>
      </c>
      <c r="E248" s="237">
        <v>0</v>
      </c>
      <c r="F248" s="237">
        <v>0</v>
      </c>
      <c r="G248" s="237">
        <v>0</v>
      </c>
      <c r="H248" s="237">
        <v>7</v>
      </c>
      <c r="I248" s="237">
        <v>0</v>
      </c>
      <c r="J248" s="14" t="s">
        <v>4563</v>
      </c>
      <c r="K248" s="238" t="s">
        <v>2808</v>
      </c>
      <c r="L248" s="22"/>
      <c r="M248" s="22"/>
      <c r="N248" s="20"/>
      <c r="O248" s="17"/>
      <c r="P248" s="17">
        <v>1093734.74</v>
      </c>
      <c r="Q248" s="17"/>
      <c r="R248" s="17"/>
      <c r="S248" s="17"/>
      <c r="T248" s="166"/>
      <c r="U248" s="39"/>
      <c r="V248" s="557"/>
    </row>
    <row r="249" spans="1:22" s="59" customFormat="1" ht="15" customHeight="1" outlineLevel="2" x14ac:dyDescent="0.25">
      <c r="A249" s="237">
        <v>3639</v>
      </c>
      <c r="B249" s="237">
        <v>2132</v>
      </c>
      <c r="C249" s="237">
        <v>2950</v>
      </c>
      <c r="D249" s="237">
        <v>30036</v>
      </c>
      <c r="E249" s="237">
        <v>0</v>
      </c>
      <c r="F249" s="237">
        <v>0</v>
      </c>
      <c r="G249" s="237">
        <v>0</v>
      </c>
      <c r="H249" s="237">
        <v>1</v>
      </c>
      <c r="I249" s="237">
        <v>0</v>
      </c>
      <c r="J249" s="14" t="s">
        <v>4567</v>
      </c>
      <c r="K249" s="238" t="s">
        <v>2808</v>
      </c>
      <c r="L249" s="22"/>
      <c r="M249" s="22"/>
      <c r="N249" s="20"/>
      <c r="O249" s="17"/>
      <c r="P249" s="17">
        <v>118668.94</v>
      </c>
      <c r="Q249" s="17"/>
      <c r="R249" s="17"/>
      <c r="S249" s="17"/>
      <c r="T249" s="166"/>
      <c r="U249" s="39"/>
      <c r="V249" s="557"/>
    </row>
    <row r="250" spans="1:22" s="59" customFormat="1" ht="15" customHeight="1" outlineLevel="2" x14ac:dyDescent="0.25">
      <c r="A250" s="237">
        <v>3639</v>
      </c>
      <c r="B250" s="237">
        <v>2132</v>
      </c>
      <c r="C250" s="237">
        <v>2950</v>
      </c>
      <c r="D250" s="237">
        <v>30036</v>
      </c>
      <c r="E250" s="237">
        <v>0</v>
      </c>
      <c r="F250" s="237">
        <v>0</v>
      </c>
      <c r="G250" s="237">
        <v>0</v>
      </c>
      <c r="H250" s="237">
        <v>7</v>
      </c>
      <c r="I250" s="237">
        <v>0</v>
      </c>
      <c r="J250" s="14" t="s">
        <v>4568</v>
      </c>
      <c r="K250" s="238" t="s">
        <v>2808</v>
      </c>
      <c r="L250" s="22"/>
      <c r="M250" s="22"/>
      <c r="N250" s="20"/>
      <c r="O250" s="17"/>
      <c r="P250" s="17">
        <v>13528.23</v>
      </c>
      <c r="Q250" s="17"/>
      <c r="R250" s="17"/>
      <c r="S250" s="17"/>
      <c r="T250" s="166"/>
      <c r="U250" s="39"/>
      <c r="V250" s="557"/>
    </row>
    <row r="251" spans="1:22" s="59" customFormat="1" ht="30" customHeight="1" outlineLevel="2" x14ac:dyDescent="0.25">
      <c r="A251" s="237">
        <v>3639</v>
      </c>
      <c r="B251" s="237">
        <v>2131</v>
      </c>
      <c r="C251" s="237">
        <v>2950</v>
      </c>
      <c r="D251" s="237">
        <v>30035</v>
      </c>
      <c r="E251" s="237">
        <v>0</v>
      </c>
      <c r="F251" s="237">
        <v>0</v>
      </c>
      <c r="G251" s="237">
        <v>0</v>
      </c>
      <c r="H251" s="237">
        <v>31</v>
      </c>
      <c r="I251" s="237">
        <v>0</v>
      </c>
      <c r="J251" s="14" t="s">
        <v>4555</v>
      </c>
      <c r="K251" s="238" t="s">
        <v>2807</v>
      </c>
      <c r="L251" s="22"/>
      <c r="M251" s="22"/>
      <c r="N251" s="20"/>
      <c r="O251" s="17"/>
      <c r="P251" s="17">
        <v>66000</v>
      </c>
      <c r="Q251" s="17"/>
      <c r="R251" s="17"/>
      <c r="S251" s="17"/>
      <c r="T251" s="166"/>
      <c r="U251" s="39"/>
      <c r="V251" s="557"/>
    </row>
    <row r="252" spans="1:22" s="59" customFormat="1" ht="30" customHeight="1" outlineLevel="2" x14ac:dyDescent="0.25">
      <c r="A252" s="14">
        <v>3613</v>
      </c>
      <c r="B252" s="14">
        <v>2111</v>
      </c>
      <c r="C252" s="18">
        <v>2950</v>
      </c>
      <c r="D252" s="14">
        <v>15001</v>
      </c>
      <c r="E252" s="14">
        <v>0</v>
      </c>
      <c r="F252" s="14">
        <v>0</v>
      </c>
      <c r="G252" s="14">
        <v>0</v>
      </c>
      <c r="H252" s="14">
        <v>0</v>
      </c>
      <c r="I252" s="13">
        <v>0</v>
      </c>
      <c r="J252" s="14" t="str">
        <f>CONCATENATE(A252,"/",B252,"/",C252,"/",D252,"/",E252,"/",F252,"/",G252,"/",H252,"/",I252)</f>
        <v>3613/2111/2950/15001/0/0/0/0/0</v>
      </c>
      <c r="K252" s="21" t="s">
        <v>143</v>
      </c>
      <c r="L252" s="22"/>
      <c r="M252" s="22">
        <v>326189.86</v>
      </c>
      <c r="N252" s="20">
        <v>1040209.98</v>
      </c>
      <c r="O252" s="17">
        <v>1015054.3</v>
      </c>
      <c r="P252" s="17">
        <v>1112885.52</v>
      </c>
      <c r="Q252" s="17">
        <v>1800000</v>
      </c>
      <c r="R252" s="17">
        <v>1800000</v>
      </c>
      <c r="S252" s="17">
        <v>1800000</v>
      </c>
      <c r="T252" s="166"/>
      <c r="V252" s="557"/>
    </row>
    <row r="253" spans="1:22" s="59" customFormat="1" ht="15" customHeight="1" outlineLevel="2" x14ac:dyDescent="0.25">
      <c r="A253" s="237">
        <v>3322</v>
      </c>
      <c r="B253" s="237">
        <v>2322</v>
      </c>
      <c r="C253" s="237">
        <v>2950</v>
      </c>
      <c r="D253" s="237">
        <v>0</v>
      </c>
      <c r="E253" s="237">
        <v>0</v>
      </c>
      <c r="F253" s="237">
        <v>0</v>
      </c>
      <c r="G253" s="237">
        <v>0</v>
      </c>
      <c r="H253" s="237">
        <v>0</v>
      </c>
      <c r="I253" s="237">
        <v>0</v>
      </c>
      <c r="J253" s="14" t="s">
        <v>4579</v>
      </c>
      <c r="K253" s="238" t="s">
        <v>4515</v>
      </c>
      <c r="L253" s="22"/>
      <c r="M253" s="22"/>
      <c r="N253" s="20"/>
      <c r="O253" s="17"/>
      <c r="P253" s="17">
        <v>26171</v>
      </c>
      <c r="Q253" s="17"/>
      <c r="R253" s="17">
        <v>5298</v>
      </c>
      <c r="S253" s="17"/>
      <c r="T253" s="166"/>
      <c r="V253" s="557"/>
    </row>
    <row r="254" spans="1:22" s="59" customFormat="1" ht="25.5" customHeight="1" outlineLevel="2" x14ac:dyDescent="0.25">
      <c r="A254" s="237">
        <v>3612</v>
      </c>
      <c r="B254" s="237">
        <v>2322</v>
      </c>
      <c r="C254" s="237">
        <v>2950</v>
      </c>
      <c r="D254" s="237">
        <v>0</v>
      </c>
      <c r="E254" s="237">
        <v>0</v>
      </c>
      <c r="F254" s="237">
        <v>0</v>
      </c>
      <c r="G254" s="237">
        <v>0</v>
      </c>
      <c r="H254" s="237">
        <v>0</v>
      </c>
      <c r="I254" s="237">
        <v>0</v>
      </c>
      <c r="J254" s="14" t="s">
        <v>4580</v>
      </c>
      <c r="K254" s="238" t="s">
        <v>4515</v>
      </c>
      <c r="L254" s="22"/>
      <c r="M254" s="22"/>
      <c r="N254" s="20"/>
      <c r="O254" s="17"/>
      <c r="P254" s="17">
        <v>9190</v>
      </c>
      <c r="Q254" s="17"/>
      <c r="R254" s="17"/>
      <c r="S254" s="17"/>
      <c r="T254" s="166"/>
      <c r="V254" s="557"/>
    </row>
    <row r="255" spans="1:22" s="59" customFormat="1" ht="15" customHeight="1" outlineLevel="2" x14ac:dyDescent="0.25">
      <c r="A255" s="237">
        <v>3632</v>
      </c>
      <c r="B255" s="237">
        <v>2322</v>
      </c>
      <c r="C255" s="237">
        <v>2950</v>
      </c>
      <c r="D255" s="237">
        <v>0</v>
      </c>
      <c r="E255" s="237">
        <v>0</v>
      </c>
      <c r="F255" s="237">
        <v>0</v>
      </c>
      <c r="G255" s="237">
        <v>0</v>
      </c>
      <c r="H255" s="237">
        <v>0</v>
      </c>
      <c r="I255" s="237">
        <v>0</v>
      </c>
      <c r="J255" s="14" t="s">
        <v>4582</v>
      </c>
      <c r="K255" s="238" t="s">
        <v>4515</v>
      </c>
      <c r="L255" s="22"/>
      <c r="M255" s="22"/>
      <c r="N255" s="20"/>
      <c r="O255" s="17"/>
      <c r="P255" s="17">
        <v>7995</v>
      </c>
      <c r="Q255" s="17"/>
      <c r="R255" s="17">
        <v>72988</v>
      </c>
      <c r="S255" s="17"/>
      <c r="T255" s="166"/>
      <c r="U255" s="39"/>
      <c r="V255" s="557"/>
    </row>
    <row r="256" spans="1:22" s="59" customFormat="1" ht="28.5" customHeight="1" outlineLevel="2" x14ac:dyDescent="0.25">
      <c r="A256" s="237">
        <v>3745</v>
      </c>
      <c r="B256" s="237">
        <v>2322</v>
      </c>
      <c r="C256" s="237">
        <v>2950</v>
      </c>
      <c r="D256" s="237">
        <v>0</v>
      </c>
      <c r="E256" s="237">
        <v>0</v>
      </c>
      <c r="F256" s="237">
        <v>0</v>
      </c>
      <c r="G256" s="237">
        <v>0</v>
      </c>
      <c r="H256" s="237">
        <v>0</v>
      </c>
      <c r="I256" s="237">
        <v>0</v>
      </c>
      <c r="J256" s="14" t="s">
        <v>4583</v>
      </c>
      <c r="K256" s="238" t="s">
        <v>4515</v>
      </c>
      <c r="L256" s="22"/>
      <c r="M256" s="22"/>
      <c r="N256" s="20"/>
      <c r="O256" s="17"/>
      <c r="P256" s="17">
        <v>21809</v>
      </c>
      <c r="Q256" s="17"/>
      <c r="R256" s="17"/>
      <c r="S256" s="17"/>
      <c r="T256" s="57"/>
      <c r="U256" s="39"/>
      <c r="V256" s="557"/>
    </row>
    <row r="257" spans="1:22" s="59" customFormat="1" ht="30" outlineLevel="2" x14ac:dyDescent="0.25">
      <c r="A257" s="237">
        <v>3613</v>
      </c>
      <c r="B257" s="237">
        <v>2111</v>
      </c>
      <c r="C257" s="237">
        <v>2950</v>
      </c>
      <c r="D257" s="237">
        <v>0</v>
      </c>
      <c r="E257" s="237">
        <v>0</v>
      </c>
      <c r="F257" s="237">
        <v>0</v>
      </c>
      <c r="G257" s="237">
        <v>0</v>
      </c>
      <c r="H257" s="237">
        <v>31</v>
      </c>
      <c r="I257" s="237">
        <v>0</v>
      </c>
      <c r="J257" s="14" t="s">
        <v>4544</v>
      </c>
      <c r="K257" s="238" t="s">
        <v>4509</v>
      </c>
      <c r="L257" s="22"/>
      <c r="M257" s="22"/>
      <c r="N257" s="20"/>
      <c r="O257" s="17"/>
      <c r="P257" s="17">
        <v>2912.03</v>
      </c>
      <c r="Q257" s="17"/>
      <c r="R257" s="17"/>
      <c r="S257" s="17"/>
      <c r="T257" s="166"/>
      <c r="U257" s="39"/>
      <c r="V257" s="557"/>
    </row>
    <row r="258" spans="1:22" s="39" customFormat="1" ht="39.75" customHeight="1" outlineLevel="2" x14ac:dyDescent="0.25">
      <c r="A258" s="237">
        <v>6221</v>
      </c>
      <c r="B258" s="237">
        <v>2111</v>
      </c>
      <c r="C258" s="237">
        <v>2950</v>
      </c>
      <c r="D258" s="237">
        <v>0</v>
      </c>
      <c r="E258" s="237">
        <v>0</v>
      </c>
      <c r="F258" s="237">
        <v>0</v>
      </c>
      <c r="G258" s="237">
        <v>0</v>
      </c>
      <c r="H258" s="237">
        <v>0</v>
      </c>
      <c r="I258" s="237">
        <v>0</v>
      </c>
      <c r="J258" s="14" t="s">
        <v>4550</v>
      </c>
      <c r="K258" s="238" t="s">
        <v>4509</v>
      </c>
      <c r="L258" s="22"/>
      <c r="M258" s="22"/>
      <c r="N258" s="20"/>
      <c r="O258" s="17"/>
      <c r="P258" s="17">
        <v>148000</v>
      </c>
      <c r="Q258" s="17"/>
      <c r="R258" s="17"/>
      <c r="S258" s="17"/>
      <c r="T258" s="166"/>
      <c r="V258" s="43"/>
    </row>
    <row r="259" spans="1:22" s="39" customFormat="1" outlineLevel="2" x14ac:dyDescent="0.25">
      <c r="A259" s="14">
        <v>1014</v>
      </c>
      <c r="B259" s="14">
        <v>2111</v>
      </c>
      <c r="C259" s="18">
        <v>2950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3">
        <v>0</v>
      </c>
      <c r="J259" s="14" t="str">
        <f>CONCATENATE(A259,"/",B259,"/",C259,"/",D259,"/",E259,"/",F259,"/",G259,"/",H259,"/",I259)</f>
        <v>1014/2111/2950/0/0/0/0/0/0</v>
      </c>
      <c r="K259" s="21" t="s">
        <v>144</v>
      </c>
      <c r="L259" s="22">
        <v>91228.85</v>
      </c>
      <c r="M259" s="22">
        <v>92809.38</v>
      </c>
      <c r="N259" s="20">
        <v>91840</v>
      </c>
      <c r="O259" s="17">
        <f>99543.25+10283.75</f>
        <v>109827</v>
      </c>
      <c r="P259" s="17">
        <v>112738.49</v>
      </c>
      <c r="Q259" s="17">
        <v>165000</v>
      </c>
      <c r="R259" s="17">
        <v>165000</v>
      </c>
      <c r="S259" s="17">
        <v>160000</v>
      </c>
      <c r="T259" s="166"/>
      <c r="U259" s="59"/>
      <c r="V259" s="43"/>
    </row>
    <row r="260" spans="1:22" s="39" customFormat="1" outlineLevel="2" x14ac:dyDescent="0.25">
      <c r="A260" s="14">
        <v>3722</v>
      </c>
      <c r="B260" s="14">
        <v>2111</v>
      </c>
      <c r="C260" s="18">
        <v>2950</v>
      </c>
      <c r="D260" s="14">
        <v>65504</v>
      </c>
      <c r="E260" s="14">
        <v>0</v>
      </c>
      <c r="F260" s="14">
        <v>0</v>
      </c>
      <c r="G260" s="14">
        <v>0</v>
      </c>
      <c r="H260" s="14">
        <v>0</v>
      </c>
      <c r="I260" s="13">
        <v>0</v>
      </c>
      <c r="J260" s="14" t="str">
        <f>CONCATENATE(A260,"/",B260,"/",C260,"/",D260,"/",E260,"/",F260,"/",G260,"/",H260,"/",I260)</f>
        <v>3722/2111/2950/65504/0/0/0/0/0</v>
      </c>
      <c r="K260" s="21" t="s">
        <v>3719</v>
      </c>
      <c r="L260" s="22">
        <v>1450</v>
      </c>
      <c r="M260" s="22">
        <v>33969.410000000003</v>
      </c>
      <c r="N260" s="20">
        <v>35547.660000000003</v>
      </c>
      <c r="O260" s="17">
        <v>45100.43</v>
      </c>
      <c r="P260" s="17">
        <v>92423.77</v>
      </c>
      <c r="Q260" s="17">
        <v>50000</v>
      </c>
      <c r="R260" s="17">
        <v>50000</v>
      </c>
      <c r="S260" s="17">
        <v>50000</v>
      </c>
      <c r="T260" s="166"/>
      <c r="V260" s="43"/>
    </row>
    <row r="261" spans="1:22" s="39" customFormat="1" outlineLevel="2" x14ac:dyDescent="0.25">
      <c r="A261" s="14">
        <v>3412</v>
      </c>
      <c r="B261" s="14">
        <v>2132</v>
      </c>
      <c r="C261" s="18">
        <v>2950</v>
      </c>
      <c r="D261" s="14">
        <v>30036</v>
      </c>
      <c r="E261" s="14">
        <v>0</v>
      </c>
      <c r="F261" s="14">
        <v>0</v>
      </c>
      <c r="G261" s="14">
        <v>0</v>
      </c>
      <c r="H261" s="14">
        <v>0</v>
      </c>
      <c r="I261" s="13">
        <v>0</v>
      </c>
      <c r="J261" s="14" t="str">
        <f>CONCATENATE(A261,"/",B261,"/",C261,"/",D261,"/",E261,"/",F261,"/",G261,"/",H261,"/",I261)</f>
        <v>3412/2132/2950/30036/0/0/0/0/0</v>
      </c>
      <c r="K261" s="21" t="s">
        <v>145</v>
      </c>
      <c r="L261" s="22">
        <v>132736.4</v>
      </c>
      <c r="M261" s="22">
        <v>90750</v>
      </c>
      <c r="N261" s="20">
        <v>152812.10999999999</v>
      </c>
      <c r="O261" s="17">
        <v>124388</v>
      </c>
      <c r="P261" s="17">
        <v>129116</v>
      </c>
      <c r="Q261" s="17">
        <v>129120</v>
      </c>
      <c r="R261" s="17">
        <v>129120</v>
      </c>
      <c r="S261" s="17">
        <v>142028</v>
      </c>
      <c r="T261" s="166"/>
      <c r="U261" s="59"/>
      <c r="V261" s="43"/>
    </row>
    <row r="262" spans="1:22" s="39" customFormat="1" outlineLevel="2" x14ac:dyDescent="0.25">
      <c r="A262" s="14">
        <v>3412</v>
      </c>
      <c r="B262" s="14">
        <v>2132</v>
      </c>
      <c r="C262" s="18">
        <v>2950</v>
      </c>
      <c r="D262" s="14">
        <v>16807</v>
      </c>
      <c r="E262" s="14">
        <v>0</v>
      </c>
      <c r="F262" s="14">
        <v>0</v>
      </c>
      <c r="G262" s="14">
        <v>0</v>
      </c>
      <c r="H262" s="14">
        <v>0</v>
      </c>
      <c r="I262" s="13">
        <v>0</v>
      </c>
      <c r="J262" s="14" t="str">
        <f>CONCATENATE(A262,"/",B262,"/",C262,"/",D262,"/",E262,"/",F262,"/",G262,"/",H262,"/",I262)</f>
        <v>3412/2132/2950/16807/0/0/0/0/0</v>
      </c>
      <c r="K262" s="21" t="s">
        <v>146</v>
      </c>
      <c r="L262" s="22">
        <f>62505+3000</f>
        <v>65505</v>
      </c>
      <c r="M262" s="22">
        <v>78840</v>
      </c>
      <c r="N262" s="20">
        <f>39794.76+5674.49</f>
        <v>45469.25</v>
      </c>
      <c r="O262" s="17">
        <f>66313.14+4626+12335.75</f>
        <v>83274.89</v>
      </c>
      <c r="P262" s="17">
        <v>85791</v>
      </c>
      <c r="Q262" s="17">
        <v>22800</v>
      </c>
      <c r="R262" s="17">
        <v>22800</v>
      </c>
      <c r="S262" s="17">
        <v>21135</v>
      </c>
      <c r="T262" s="166"/>
      <c r="U262" s="59"/>
      <c r="V262" s="43"/>
    </row>
    <row r="263" spans="1:22" s="39" customFormat="1" outlineLevel="2" x14ac:dyDescent="0.25">
      <c r="A263" s="14">
        <v>3412</v>
      </c>
      <c r="B263" s="14">
        <v>2132</v>
      </c>
      <c r="C263" s="18">
        <v>2950</v>
      </c>
      <c r="D263" s="14">
        <v>16807</v>
      </c>
      <c r="E263" s="14">
        <v>0</v>
      </c>
      <c r="F263" s="14">
        <v>0</v>
      </c>
      <c r="G263" s="14">
        <v>0</v>
      </c>
      <c r="H263" s="14">
        <v>34</v>
      </c>
      <c r="I263" s="13">
        <v>0</v>
      </c>
      <c r="J263" s="14" t="str">
        <f>CONCATENATE(A263,"/",B263,"/",C263,"/",D263,"/",E263,"/",F263,"/",G263,"/",H263,"/",I263)</f>
        <v>3412/2132/2950/16807/0/0/0/34/0</v>
      </c>
      <c r="K263" s="21" t="s">
        <v>4355</v>
      </c>
      <c r="L263" s="22"/>
      <c r="M263" s="22"/>
      <c r="N263" s="20"/>
      <c r="O263" s="17">
        <v>0</v>
      </c>
      <c r="P263" s="17"/>
      <c r="Q263" s="17">
        <v>69700</v>
      </c>
      <c r="R263" s="17">
        <v>69700</v>
      </c>
      <c r="S263" s="17">
        <v>76694</v>
      </c>
      <c r="T263" s="166"/>
      <c r="U263" s="59"/>
      <c r="V263" s="43"/>
    </row>
    <row r="264" spans="1:22" s="39" customFormat="1" outlineLevel="2" x14ac:dyDescent="0.25">
      <c r="A264" s="237">
        <v>3412</v>
      </c>
      <c r="B264" s="237">
        <v>2111</v>
      </c>
      <c r="C264" s="237">
        <v>2950</v>
      </c>
      <c r="D264" s="237">
        <v>16807</v>
      </c>
      <c r="E264" s="237">
        <v>0</v>
      </c>
      <c r="F264" s="237">
        <v>0</v>
      </c>
      <c r="G264" s="237">
        <v>0</v>
      </c>
      <c r="H264" s="237">
        <v>0</v>
      </c>
      <c r="I264" s="237">
        <v>0</v>
      </c>
      <c r="J264" s="14" t="s">
        <v>4540</v>
      </c>
      <c r="K264" s="238" t="s">
        <v>2571</v>
      </c>
      <c r="L264" s="22"/>
      <c r="M264" s="22"/>
      <c r="N264" s="20"/>
      <c r="O264" s="17"/>
      <c r="P264" s="17">
        <v>5881</v>
      </c>
      <c r="Q264" s="17"/>
      <c r="R264" s="17"/>
      <c r="S264" s="17"/>
      <c r="T264" s="166"/>
      <c r="U264" s="59"/>
      <c r="V264" s="43"/>
    </row>
    <row r="265" spans="1:22" s="39" customFormat="1" outlineLevel="2" x14ac:dyDescent="0.25">
      <c r="A265" s="237">
        <v>3412</v>
      </c>
      <c r="B265" s="237">
        <v>2132</v>
      </c>
      <c r="C265" s="237">
        <v>2950</v>
      </c>
      <c r="D265" s="237">
        <v>16807</v>
      </c>
      <c r="E265" s="237">
        <v>0</v>
      </c>
      <c r="F265" s="237">
        <v>0</v>
      </c>
      <c r="G265" s="237">
        <v>0</v>
      </c>
      <c r="H265" s="237">
        <v>7</v>
      </c>
      <c r="I265" s="237">
        <v>0</v>
      </c>
      <c r="J265" s="14" t="s">
        <v>4559</v>
      </c>
      <c r="K265" s="238" t="s">
        <v>2571</v>
      </c>
      <c r="L265" s="22"/>
      <c r="M265" s="22"/>
      <c r="N265" s="20"/>
      <c r="O265" s="17"/>
      <c r="P265" s="17">
        <v>3143</v>
      </c>
      <c r="Q265" s="17"/>
      <c r="R265" s="17"/>
      <c r="S265" s="17"/>
      <c r="T265" s="166"/>
      <c r="U265" s="59"/>
      <c r="V265" s="43"/>
    </row>
    <row r="266" spans="1:22" s="39" customFormat="1" outlineLevel="2" x14ac:dyDescent="0.25">
      <c r="A266" s="237">
        <v>3412</v>
      </c>
      <c r="B266" s="237">
        <v>2324</v>
      </c>
      <c r="C266" s="237">
        <v>2950</v>
      </c>
      <c r="D266" s="237">
        <v>16807</v>
      </c>
      <c r="E266" s="237">
        <v>0</v>
      </c>
      <c r="F266" s="237">
        <v>0</v>
      </c>
      <c r="G266" s="237">
        <v>0</v>
      </c>
      <c r="H266" s="237">
        <v>0</v>
      </c>
      <c r="I266" s="237">
        <v>0</v>
      </c>
      <c r="J266" s="14" t="s">
        <v>4590</v>
      </c>
      <c r="K266" s="238" t="s">
        <v>2571</v>
      </c>
      <c r="L266" s="22"/>
      <c r="M266" s="22"/>
      <c r="N266" s="20"/>
      <c r="O266" s="17"/>
      <c r="P266" s="17">
        <v>33872.17</v>
      </c>
      <c r="Q266" s="17"/>
      <c r="R266" s="17"/>
      <c r="S266" s="17"/>
      <c r="T266" s="166"/>
      <c r="U266" s="59"/>
      <c r="V266" s="43"/>
    </row>
    <row r="267" spans="1:22" s="39" customFormat="1" outlineLevel="2" x14ac:dyDescent="0.25">
      <c r="A267" s="14">
        <v>3612</v>
      </c>
      <c r="B267" s="14">
        <v>3119</v>
      </c>
      <c r="C267" s="18">
        <v>2950</v>
      </c>
      <c r="D267" s="14">
        <v>32041</v>
      </c>
      <c r="E267" s="14">
        <v>0</v>
      </c>
      <c r="F267" s="14">
        <v>0</v>
      </c>
      <c r="G267" s="14">
        <v>0</v>
      </c>
      <c r="H267" s="14">
        <v>0</v>
      </c>
      <c r="I267" s="13">
        <v>0</v>
      </c>
      <c r="J267" s="14" t="str">
        <f>CONCATENATE(A267,"/",B267,"/",C267,"/",D267,"/",E267,"/",F267,"/",G267,"/",H267,"/",I267)</f>
        <v>3612/3119/2950/32041/0/0/0/0/0</v>
      </c>
      <c r="K267" s="21" t="s">
        <v>148</v>
      </c>
      <c r="L267" s="22">
        <v>647161</v>
      </c>
      <c r="M267" s="22">
        <v>645018</v>
      </c>
      <c r="N267" s="20">
        <v>657546</v>
      </c>
      <c r="O267" s="17">
        <v>427268</v>
      </c>
      <c r="P267" s="17">
        <v>24508</v>
      </c>
      <c r="Q267" s="17"/>
      <c r="R267" s="17"/>
      <c r="S267" s="17"/>
      <c r="T267" s="166"/>
      <c r="U267" s="59"/>
      <c r="V267" s="43"/>
    </row>
    <row r="268" spans="1:22" s="39" customFormat="1" outlineLevel="2" x14ac:dyDescent="0.25">
      <c r="A268" s="14">
        <v>3612</v>
      </c>
      <c r="B268" s="14">
        <v>3119</v>
      </c>
      <c r="C268" s="18">
        <v>2950</v>
      </c>
      <c r="D268" s="14">
        <v>32042</v>
      </c>
      <c r="E268" s="14">
        <v>0</v>
      </c>
      <c r="F268" s="14">
        <v>0</v>
      </c>
      <c r="G268" s="14">
        <v>0</v>
      </c>
      <c r="H268" s="14">
        <v>0</v>
      </c>
      <c r="I268" s="13">
        <v>0</v>
      </c>
      <c r="J268" s="14" t="str">
        <f>CONCATENATE(A268,"/",B268,"/",C268,"/",D268,"/",E268,"/",F268,"/",G268,"/",H268,"/",I268)</f>
        <v>3612/3119/2950/32042/0/0/0/0/0</v>
      </c>
      <c r="K268" s="21" t="s">
        <v>149</v>
      </c>
      <c r="L268" s="22">
        <v>532980</v>
      </c>
      <c r="M268" s="22">
        <v>532192</v>
      </c>
      <c r="N268" s="20">
        <v>501798</v>
      </c>
      <c r="O268" s="17">
        <v>864</v>
      </c>
      <c r="P268" s="17"/>
      <c r="Q268" s="17"/>
      <c r="R268" s="17"/>
      <c r="S268" s="17"/>
      <c r="T268" s="166"/>
      <c r="U268" s="59"/>
      <c r="V268" s="43"/>
    </row>
    <row r="269" spans="1:22" s="39" customFormat="1" outlineLevel="2" x14ac:dyDescent="0.25">
      <c r="A269" s="14">
        <v>3612</v>
      </c>
      <c r="B269" s="14">
        <v>3119</v>
      </c>
      <c r="C269" s="18">
        <v>2950</v>
      </c>
      <c r="D269" s="14">
        <v>32043</v>
      </c>
      <c r="E269" s="14">
        <v>0</v>
      </c>
      <c r="F269" s="14">
        <v>0</v>
      </c>
      <c r="G269" s="14">
        <v>0</v>
      </c>
      <c r="H269" s="14">
        <v>0</v>
      </c>
      <c r="I269" s="13">
        <v>0</v>
      </c>
      <c r="J269" s="14" t="str">
        <f>CONCATENATE(A269,"/",B269,"/",C269,"/",D269,"/",E269,"/",F269,"/",G269,"/",H269,"/",I269)</f>
        <v>3612/3119/2950/32043/0/0/0/0/0</v>
      </c>
      <c r="K269" s="21" t="s">
        <v>150</v>
      </c>
      <c r="L269" s="22">
        <v>681894</v>
      </c>
      <c r="M269" s="22">
        <v>637320</v>
      </c>
      <c r="N269" s="20">
        <v>637320</v>
      </c>
      <c r="O269" s="17">
        <v>367990</v>
      </c>
      <c r="P269" s="17">
        <v>79084</v>
      </c>
      <c r="Q269" s="17"/>
      <c r="R269" s="17"/>
      <c r="S269" s="17"/>
      <c r="T269" s="166"/>
      <c r="U269" s="59"/>
      <c r="V269" s="43"/>
    </row>
    <row r="270" spans="1:22" s="39" customFormat="1" outlineLevel="2" x14ac:dyDescent="0.25">
      <c r="A270" s="237">
        <v>3619</v>
      </c>
      <c r="B270" s="237">
        <v>2322</v>
      </c>
      <c r="C270" s="237">
        <v>2950</v>
      </c>
      <c r="D270" s="237">
        <v>0</v>
      </c>
      <c r="E270" s="237">
        <v>0</v>
      </c>
      <c r="F270" s="237">
        <v>0</v>
      </c>
      <c r="G270" s="237">
        <v>0</v>
      </c>
      <c r="H270" s="237">
        <v>0</v>
      </c>
      <c r="I270" s="237">
        <v>0</v>
      </c>
      <c r="J270" s="14" t="s">
        <v>4581</v>
      </c>
      <c r="K270" s="238" t="s">
        <v>5092</v>
      </c>
      <c r="L270" s="22"/>
      <c r="M270" s="22"/>
      <c r="N270" s="20"/>
      <c r="O270" s="17"/>
      <c r="P270" s="17">
        <v>180037</v>
      </c>
      <c r="Q270" s="17"/>
      <c r="R270" s="17"/>
      <c r="S270" s="17"/>
      <c r="T270" s="166"/>
      <c r="V270" s="43"/>
    </row>
    <row r="271" spans="1:22" s="39" customFormat="1" outlineLevel="2" x14ac:dyDescent="0.25">
      <c r="A271" s="14">
        <v>3613</v>
      </c>
      <c r="B271" s="14">
        <v>2132</v>
      </c>
      <c r="C271" s="18">
        <v>2950</v>
      </c>
      <c r="D271" s="14">
        <v>13001</v>
      </c>
      <c r="E271" s="14">
        <v>0</v>
      </c>
      <c r="F271" s="14">
        <v>0</v>
      </c>
      <c r="G271" s="14">
        <v>0</v>
      </c>
      <c r="H271" s="14">
        <v>0</v>
      </c>
      <c r="I271" s="13">
        <v>0</v>
      </c>
      <c r="J271" s="14" t="str">
        <f>CONCATENATE(A271,"/",B271,"/",C271,"/",D271,"/",E271,"/",F271,"/",G271,"/",H271,"/",I271)</f>
        <v>3613/2132/2950/13001/0/0/0/0/0</v>
      </c>
      <c r="K271" s="21" t="s">
        <v>151</v>
      </c>
      <c r="L271" s="22">
        <v>14000</v>
      </c>
      <c r="M271" s="22">
        <v>14000</v>
      </c>
      <c r="N271" s="20">
        <v>7196</v>
      </c>
      <c r="O271" s="17">
        <f>10794+25383.67</f>
        <v>36177.67</v>
      </c>
      <c r="P271" s="17">
        <v>14936</v>
      </c>
      <c r="Q271" s="17">
        <v>14900</v>
      </c>
      <c r="R271" s="17">
        <v>14900</v>
      </c>
      <c r="S271" s="17">
        <v>16432</v>
      </c>
      <c r="T271" s="166"/>
      <c r="V271" s="43"/>
    </row>
    <row r="272" spans="1:22" s="39" customFormat="1" outlineLevel="2" x14ac:dyDescent="0.25">
      <c r="A272" s="14">
        <v>3613</v>
      </c>
      <c r="B272" s="14">
        <v>2111</v>
      </c>
      <c r="C272" s="18">
        <v>2950</v>
      </c>
      <c r="D272" s="14">
        <v>13001</v>
      </c>
      <c r="E272" s="14">
        <v>0</v>
      </c>
      <c r="F272" s="14">
        <v>0</v>
      </c>
      <c r="G272" s="14">
        <v>0</v>
      </c>
      <c r="H272" s="14">
        <v>0</v>
      </c>
      <c r="I272" s="13">
        <v>0</v>
      </c>
      <c r="J272" s="14" t="str">
        <f>CONCATENATE(A272,"/",B272,"/",C272,"/",D272,"/",E272,"/",F272,"/",G272,"/",H272,"/",I272)</f>
        <v>3613/2111/2950/13001/0/0/0/0/0</v>
      </c>
      <c r="K272" s="21" t="s">
        <v>4608</v>
      </c>
      <c r="L272" s="22">
        <v>208446.66</v>
      </c>
      <c r="M272" s="22">
        <v>137436.37</v>
      </c>
      <c r="N272" s="20">
        <v>0</v>
      </c>
      <c r="O272" s="17">
        <v>0</v>
      </c>
      <c r="P272" s="17">
        <v>2808.62</v>
      </c>
      <c r="Q272" s="17"/>
      <c r="R272" s="17"/>
      <c r="S272" s="17"/>
      <c r="T272" s="166"/>
      <c r="V272" s="43"/>
    </row>
    <row r="273" spans="1:22" s="39" customFormat="1" outlineLevel="2" x14ac:dyDescent="0.25">
      <c r="A273" s="237">
        <v>3412</v>
      </c>
      <c r="B273" s="237">
        <v>2111</v>
      </c>
      <c r="C273" s="237">
        <v>2950</v>
      </c>
      <c r="D273" s="237">
        <v>16432</v>
      </c>
      <c r="E273" s="237">
        <v>0</v>
      </c>
      <c r="F273" s="237">
        <v>0</v>
      </c>
      <c r="G273" s="237">
        <v>0</v>
      </c>
      <c r="H273" s="237">
        <v>0</v>
      </c>
      <c r="I273" s="237">
        <v>0</v>
      </c>
      <c r="J273" s="14" t="s">
        <v>4538</v>
      </c>
      <c r="K273" s="238" t="s">
        <v>618</v>
      </c>
      <c r="L273" s="22"/>
      <c r="M273" s="22"/>
      <c r="N273" s="20"/>
      <c r="O273" s="17"/>
      <c r="P273" s="17">
        <v>25724</v>
      </c>
      <c r="Q273" s="17"/>
      <c r="R273" s="17"/>
      <c r="S273" s="17"/>
      <c r="T273" s="166"/>
      <c r="U273" s="59"/>
      <c r="V273" s="43"/>
    </row>
    <row r="274" spans="1:22" s="39" customFormat="1" outlineLevel="2" x14ac:dyDescent="0.25">
      <c r="A274" s="237">
        <v>3412</v>
      </c>
      <c r="B274" s="237">
        <v>2132</v>
      </c>
      <c r="C274" s="237">
        <v>2950</v>
      </c>
      <c r="D274" s="237">
        <v>16432</v>
      </c>
      <c r="E274" s="237">
        <v>0</v>
      </c>
      <c r="F274" s="237">
        <v>0</v>
      </c>
      <c r="G274" s="237">
        <v>0</v>
      </c>
      <c r="H274" s="237">
        <v>7</v>
      </c>
      <c r="I274" s="237">
        <v>0</v>
      </c>
      <c r="J274" s="14" t="s">
        <v>4557</v>
      </c>
      <c r="K274" s="238" t="s">
        <v>618</v>
      </c>
      <c r="L274" s="22"/>
      <c r="M274" s="22"/>
      <c r="N274" s="20"/>
      <c r="O274" s="17"/>
      <c r="P274" s="17">
        <v>58.5</v>
      </c>
      <c r="Q274" s="17"/>
      <c r="R274" s="17"/>
      <c r="S274" s="17"/>
      <c r="T274" s="166"/>
      <c r="U274" s="59"/>
      <c r="V274" s="43"/>
    </row>
    <row r="275" spans="1:22" s="39" customFormat="1" outlineLevel="2" x14ac:dyDescent="0.25">
      <c r="A275" s="14">
        <v>3412</v>
      </c>
      <c r="B275" s="14">
        <v>2324</v>
      </c>
      <c r="C275" s="18">
        <v>2950</v>
      </c>
      <c r="D275" s="14">
        <v>16432</v>
      </c>
      <c r="E275" s="14">
        <v>0</v>
      </c>
      <c r="F275" s="14">
        <v>0</v>
      </c>
      <c r="G275" s="14">
        <v>0</v>
      </c>
      <c r="H275" s="14">
        <v>0</v>
      </c>
      <c r="I275" s="13">
        <v>0</v>
      </c>
      <c r="J275" s="14" t="str">
        <f>CONCATENATE(A275,"/",B275,"/",C275,"/",D275,"/",E275,"/",F275,"/",G275,"/",H275,"/",I275)</f>
        <v>3412/2324/2950/16432/0/0/0/0/0</v>
      </c>
      <c r="K275" s="21" t="s">
        <v>618</v>
      </c>
      <c r="L275" s="22"/>
      <c r="M275" s="22"/>
      <c r="N275" s="20">
        <v>30829.439999999999</v>
      </c>
      <c r="O275" s="17">
        <v>99068.85</v>
      </c>
      <c r="P275" s="17">
        <v>28930.79</v>
      </c>
      <c r="Q275" s="17"/>
      <c r="R275" s="17"/>
      <c r="S275" s="17"/>
      <c r="T275" s="166"/>
      <c r="U275" s="59"/>
      <c r="V275" s="43"/>
    </row>
    <row r="276" spans="1:22" s="39" customFormat="1" outlineLevel="2" x14ac:dyDescent="0.25">
      <c r="A276" s="14">
        <v>3412</v>
      </c>
      <c r="B276" s="14">
        <v>2132</v>
      </c>
      <c r="C276" s="18">
        <v>2950</v>
      </c>
      <c r="D276" s="14">
        <v>16432</v>
      </c>
      <c r="E276" s="14">
        <v>0</v>
      </c>
      <c r="F276" s="14">
        <v>0</v>
      </c>
      <c r="G276" s="14">
        <v>0</v>
      </c>
      <c r="H276" s="14">
        <v>0</v>
      </c>
      <c r="I276" s="13">
        <v>0</v>
      </c>
      <c r="J276" s="14" t="str">
        <f>CONCATENATE(A276,"/",B276,"/",C276,"/",D276,"/",E276,"/",F276,"/",G276,"/",H276,"/",I276)</f>
        <v>3412/2132/2950/16432/0/0/0/0/0</v>
      </c>
      <c r="K276" s="21" t="s">
        <v>152</v>
      </c>
      <c r="L276" s="22">
        <v>6000</v>
      </c>
      <c r="M276" s="22">
        <v>16516</v>
      </c>
      <c r="N276" s="20">
        <v>13610</v>
      </c>
      <c r="O276" s="17">
        <f>21926+1542</f>
        <v>23468</v>
      </c>
      <c r="P276" s="17">
        <v>21358.5</v>
      </c>
      <c r="Q276" s="17">
        <v>25000</v>
      </c>
      <c r="R276" s="17">
        <v>25000</v>
      </c>
      <c r="S276" s="17">
        <v>27596</v>
      </c>
      <c r="T276" s="166"/>
      <c r="U276" s="59"/>
      <c r="V276" s="43"/>
    </row>
    <row r="277" spans="1:22" s="39" customFormat="1" outlineLevel="2" x14ac:dyDescent="0.25">
      <c r="A277" s="14">
        <v>3639</v>
      </c>
      <c r="B277" s="14">
        <v>2132</v>
      </c>
      <c r="C277" s="18">
        <v>2950</v>
      </c>
      <c r="D277" s="14">
        <v>30036</v>
      </c>
      <c r="E277" s="14">
        <v>0</v>
      </c>
      <c r="F277" s="14">
        <v>0</v>
      </c>
      <c r="G277" s="14">
        <v>0</v>
      </c>
      <c r="H277" s="14">
        <v>0</v>
      </c>
      <c r="I277" s="13">
        <v>0</v>
      </c>
      <c r="J277" s="14" t="str">
        <f>CONCATENATE(A277,"/",B277,"/",C277,"/",D277,"/",E277,"/",F277,"/",G277,"/",H277,"/",I277)</f>
        <v>3639/2132/2950/30036/0/0/0/0/0</v>
      </c>
      <c r="K277" s="21" t="s">
        <v>154</v>
      </c>
      <c r="L277" s="22">
        <v>1385234.64</v>
      </c>
      <c r="M277" s="22">
        <v>1120583.07</v>
      </c>
      <c r="N277" s="20">
        <v>1420794.57</v>
      </c>
      <c r="O277" s="17">
        <v>1424027.28</v>
      </c>
      <c r="P277" s="17">
        <v>1222764.68</v>
      </c>
      <c r="Q277" s="17">
        <v>1478100</v>
      </c>
      <c r="R277" s="17">
        <v>1478100</v>
      </c>
      <c r="S277" s="17">
        <v>1625954</v>
      </c>
      <c r="T277" s="166"/>
      <c r="V277" s="43"/>
    </row>
    <row r="278" spans="1:22" s="39" customFormat="1" outlineLevel="2" x14ac:dyDescent="0.25">
      <c r="A278" s="237">
        <v>6221</v>
      </c>
      <c r="B278" s="237">
        <v>2111</v>
      </c>
      <c r="C278" s="237">
        <v>2950</v>
      </c>
      <c r="D278" s="237">
        <v>13800</v>
      </c>
      <c r="E278" s="237">
        <v>0</v>
      </c>
      <c r="F278" s="237">
        <v>0</v>
      </c>
      <c r="G278" s="237">
        <v>0</v>
      </c>
      <c r="H278" s="237">
        <v>0</v>
      </c>
      <c r="I278" s="237">
        <v>0</v>
      </c>
      <c r="J278" s="14" t="s">
        <v>4551</v>
      </c>
      <c r="K278" s="238" t="s">
        <v>2526</v>
      </c>
      <c r="L278" s="22"/>
      <c r="M278" s="22"/>
      <c r="N278" s="20"/>
      <c r="O278" s="17"/>
      <c r="P278" s="17">
        <v>23200</v>
      </c>
      <c r="Q278" s="17"/>
      <c r="R278" s="17"/>
      <c r="S278" s="17"/>
      <c r="T278" s="166"/>
      <c r="V278" s="43"/>
    </row>
    <row r="279" spans="1:22" s="39" customFormat="1" outlineLevel="2" x14ac:dyDescent="0.25">
      <c r="A279" s="237">
        <v>6221</v>
      </c>
      <c r="B279" s="237">
        <v>2111</v>
      </c>
      <c r="C279" s="237">
        <v>2950</v>
      </c>
      <c r="D279" s="237">
        <v>13800</v>
      </c>
      <c r="E279" s="237">
        <v>0</v>
      </c>
      <c r="F279" s="237">
        <v>0</v>
      </c>
      <c r="G279" s="237">
        <v>0</v>
      </c>
      <c r="H279" s="237">
        <v>0</v>
      </c>
      <c r="I279" s="237">
        <v>1</v>
      </c>
      <c r="J279" s="14" t="s">
        <v>4552</v>
      </c>
      <c r="K279" s="238" t="s">
        <v>2526</v>
      </c>
      <c r="L279" s="22"/>
      <c r="M279" s="22"/>
      <c r="N279" s="20"/>
      <c r="O279" s="17"/>
      <c r="P279" s="17">
        <v>14400</v>
      </c>
      <c r="Q279" s="17"/>
      <c r="R279" s="17"/>
      <c r="S279" s="17"/>
      <c r="T279" s="166"/>
      <c r="V279" s="43"/>
    </row>
    <row r="280" spans="1:22" s="39" customFormat="1" outlineLevel="2" x14ac:dyDescent="0.25">
      <c r="A280" s="237">
        <v>6221</v>
      </c>
      <c r="B280" s="237">
        <v>2324</v>
      </c>
      <c r="C280" s="237">
        <v>2950</v>
      </c>
      <c r="D280" s="237">
        <v>13800</v>
      </c>
      <c r="E280" s="237">
        <v>0</v>
      </c>
      <c r="F280" s="237">
        <v>0</v>
      </c>
      <c r="G280" s="237">
        <v>0</v>
      </c>
      <c r="H280" s="237">
        <v>0</v>
      </c>
      <c r="I280" s="237">
        <v>1</v>
      </c>
      <c r="J280" s="14" t="s">
        <v>4600</v>
      </c>
      <c r="K280" s="238" t="s">
        <v>2526</v>
      </c>
      <c r="L280" s="22"/>
      <c r="M280" s="22"/>
      <c r="N280" s="20"/>
      <c r="O280" s="17"/>
      <c r="P280" s="17">
        <v>13600</v>
      </c>
      <c r="Q280" s="17"/>
      <c r="R280" s="17"/>
      <c r="S280" s="17"/>
      <c r="T280" s="57"/>
      <c r="V280" s="43"/>
    </row>
    <row r="281" spans="1:22" s="39" customFormat="1" outlineLevel="2" x14ac:dyDescent="0.25">
      <c r="A281" s="237">
        <v>3612</v>
      </c>
      <c r="B281" s="237">
        <v>2111</v>
      </c>
      <c r="C281" s="237">
        <v>2950</v>
      </c>
      <c r="D281" s="237">
        <v>39096</v>
      </c>
      <c r="E281" s="237">
        <v>0</v>
      </c>
      <c r="F281" s="237">
        <v>0</v>
      </c>
      <c r="G281" s="237">
        <v>0</v>
      </c>
      <c r="H281" s="237">
        <v>0</v>
      </c>
      <c r="I281" s="237">
        <v>0</v>
      </c>
      <c r="J281" s="14" t="s">
        <v>4542</v>
      </c>
      <c r="K281" s="238" t="s">
        <v>2984</v>
      </c>
      <c r="L281" s="22"/>
      <c r="M281" s="22"/>
      <c r="N281" s="20"/>
      <c r="O281" s="17"/>
      <c r="P281" s="17">
        <v>500</v>
      </c>
      <c r="Q281" s="17"/>
      <c r="R281" s="17"/>
      <c r="S281" s="17"/>
      <c r="T281" s="166"/>
      <c r="U281" s="59"/>
      <c r="V281" s="43"/>
    </row>
    <row r="282" spans="1:22" s="39" customFormat="1" outlineLevel="2" x14ac:dyDescent="0.25">
      <c r="A282" s="237">
        <v>3613</v>
      </c>
      <c r="B282" s="237">
        <v>2132</v>
      </c>
      <c r="C282" s="237">
        <v>2950</v>
      </c>
      <c r="D282" s="237">
        <v>39096</v>
      </c>
      <c r="E282" s="237">
        <v>0</v>
      </c>
      <c r="F282" s="237">
        <v>0</v>
      </c>
      <c r="G282" s="237">
        <v>0</v>
      </c>
      <c r="H282" s="237">
        <v>0</v>
      </c>
      <c r="I282" s="237">
        <v>0</v>
      </c>
      <c r="J282" s="14" t="s">
        <v>4564</v>
      </c>
      <c r="K282" s="238" t="s">
        <v>2984</v>
      </c>
      <c r="L282" s="22"/>
      <c r="M282" s="22"/>
      <c r="N282" s="20"/>
      <c r="O282" s="17"/>
      <c r="P282" s="17">
        <v>22560</v>
      </c>
      <c r="Q282" s="17"/>
      <c r="R282" s="17"/>
      <c r="S282" s="17"/>
      <c r="T282" s="166"/>
      <c r="V282" s="43"/>
    </row>
    <row r="283" spans="1:22" s="39" customFormat="1" outlineLevel="2" x14ac:dyDescent="0.25">
      <c r="A283" s="14">
        <v>3613</v>
      </c>
      <c r="B283" s="14">
        <v>2111</v>
      </c>
      <c r="C283" s="18">
        <v>2950</v>
      </c>
      <c r="D283" s="14">
        <v>13800</v>
      </c>
      <c r="E283" s="14">
        <v>0</v>
      </c>
      <c r="F283" s="14">
        <v>0</v>
      </c>
      <c r="G283" s="14">
        <v>0</v>
      </c>
      <c r="H283" s="14">
        <v>0</v>
      </c>
      <c r="I283" s="13">
        <v>0</v>
      </c>
      <c r="J283" s="14" t="str">
        <f>CONCATENATE(A283,"/",B283,"/",C283,"/",D283,"/",E283,"/",F283,"/",G283,"/",H283,"/",I283)</f>
        <v>3613/2111/2950/13800/0/0/0/0/0</v>
      </c>
      <c r="K283" s="21" t="s">
        <v>155</v>
      </c>
      <c r="L283" s="22">
        <v>207879.12</v>
      </c>
      <c r="M283" s="22">
        <v>221282.8</v>
      </c>
      <c r="N283" s="20">
        <v>277407.46000000002</v>
      </c>
      <c r="O283" s="17">
        <f>254632.92+9279.61</f>
        <v>263912.53000000003</v>
      </c>
      <c r="P283" s="17">
        <v>170150.76</v>
      </c>
      <c r="Q283" s="17">
        <v>200000</v>
      </c>
      <c r="R283" s="17">
        <v>200000</v>
      </c>
      <c r="S283" s="17">
        <v>200000</v>
      </c>
      <c r="T283" s="166"/>
      <c r="V283" s="43"/>
    </row>
    <row r="284" spans="1:22" s="39" customFormat="1" outlineLevel="2" x14ac:dyDescent="0.25">
      <c r="A284" s="14">
        <v>3613</v>
      </c>
      <c r="B284" s="14">
        <v>2324</v>
      </c>
      <c r="C284" s="18">
        <v>2950</v>
      </c>
      <c r="D284" s="14">
        <v>39096</v>
      </c>
      <c r="E284" s="14">
        <v>0</v>
      </c>
      <c r="F284" s="14">
        <v>0</v>
      </c>
      <c r="G284" s="14">
        <v>0</v>
      </c>
      <c r="H284" s="14">
        <v>0</v>
      </c>
      <c r="I284" s="13">
        <v>0</v>
      </c>
      <c r="J284" s="14" t="str">
        <f>CONCATENATE(A284,"/",B284,"/",C284,"/",D284,"/",E284,"/",F284,"/",G284,"/",H284,"/",I284)</f>
        <v>3613/2324/2950/39096/0/0/0/0/0</v>
      </c>
      <c r="K284" s="21" t="s">
        <v>156</v>
      </c>
      <c r="L284" s="22">
        <v>12873.82</v>
      </c>
      <c r="M284" s="22">
        <v>2321.6799999999998</v>
      </c>
      <c r="N284" s="20">
        <v>2198</v>
      </c>
      <c r="O284" s="17">
        <v>0</v>
      </c>
      <c r="P284" s="17">
        <v>27137.96</v>
      </c>
      <c r="Q284" s="17">
        <v>2000</v>
      </c>
      <c r="R284" s="17">
        <v>2000</v>
      </c>
      <c r="S284" s="17"/>
      <c r="T284" s="166"/>
      <c r="V284" s="43"/>
    </row>
    <row r="285" spans="1:22" s="39" customFormat="1" outlineLevel="2" x14ac:dyDescent="0.25">
      <c r="A285" s="14">
        <v>3613</v>
      </c>
      <c r="B285" s="14">
        <v>2111</v>
      </c>
      <c r="C285" s="18">
        <v>2950</v>
      </c>
      <c r="D285" s="14">
        <v>39096</v>
      </c>
      <c r="E285" s="14">
        <v>0</v>
      </c>
      <c r="F285" s="14">
        <v>0</v>
      </c>
      <c r="G285" s="14">
        <v>0</v>
      </c>
      <c r="H285" s="14">
        <v>0</v>
      </c>
      <c r="I285" s="13">
        <v>0</v>
      </c>
      <c r="J285" s="14" t="str">
        <f>CONCATENATE(A285,"/",B285,"/",C285,"/",D285,"/",E285,"/",F285,"/",G285,"/",H285,"/",I285)</f>
        <v>3613/2111/2950/39096/0/0/0/0/0</v>
      </c>
      <c r="K285" s="21" t="s">
        <v>157</v>
      </c>
      <c r="L285" s="22">
        <v>1350529.83</v>
      </c>
      <c r="M285" s="22">
        <v>1324009.83</v>
      </c>
      <c r="N285" s="20">
        <f>1001610.54+252033</f>
        <v>1253643.54</v>
      </c>
      <c r="O285" s="17">
        <v>1729630.08</v>
      </c>
      <c r="P285" s="17">
        <v>1384921</v>
      </c>
      <c r="Q285" s="22">
        <v>1650000</v>
      </c>
      <c r="R285" s="22">
        <v>1650000</v>
      </c>
      <c r="S285" s="22">
        <f>2000000-600000</f>
        <v>1400000</v>
      </c>
      <c r="T285" s="166" t="s">
        <v>5113</v>
      </c>
      <c r="V285" s="43"/>
    </row>
    <row r="286" spans="1:22" s="39" customFormat="1" outlineLevel="2" x14ac:dyDescent="0.25">
      <c r="A286" s="14">
        <v>3613</v>
      </c>
      <c r="B286" s="14">
        <v>2111</v>
      </c>
      <c r="C286" s="18">
        <v>2950</v>
      </c>
      <c r="D286" s="14">
        <v>39096</v>
      </c>
      <c r="E286" s="14">
        <v>0</v>
      </c>
      <c r="F286" s="14">
        <v>0</v>
      </c>
      <c r="G286" s="14">
        <v>0</v>
      </c>
      <c r="H286" s="14">
        <v>7</v>
      </c>
      <c r="I286" s="13">
        <v>0</v>
      </c>
      <c r="J286" s="14" t="str">
        <f>CONCATENATE(A286,"/",B286,"/",C286,"/",D286,"/",E286,"/",F286,"/",G286,"/",H286,"/",I286)</f>
        <v>3613/2111/2950/39096/0/0/0/7/0</v>
      </c>
      <c r="K286" s="21" t="s">
        <v>3791</v>
      </c>
      <c r="L286" s="22">
        <v>26300.46</v>
      </c>
      <c r="M286" s="22">
        <f>119123.76+2610</f>
        <v>121733.75999999999</v>
      </c>
      <c r="N286" s="20">
        <v>205179.19</v>
      </c>
      <c r="O286" s="17">
        <v>129164.63</v>
      </c>
      <c r="P286" s="17">
        <v>200226.52</v>
      </c>
      <c r="Q286" s="17">
        <v>100000</v>
      </c>
      <c r="R286" s="17">
        <v>100000</v>
      </c>
      <c r="S286" s="17">
        <v>100000</v>
      </c>
      <c r="T286" s="166"/>
      <c r="V286" s="43"/>
    </row>
    <row r="287" spans="1:22" s="39" customFormat="1" ht="30" outlineLevel="2" x14ac:dyDescent="0.25">
      <c r="A287" s="281">
        <v>3613</v>
      </c>
      <c r="B287" s="281">
        <v>2111</v>
      </c>
      <c r="C287" s="408">
        <v>2998</v>
      </c>
      <c r="D287" s="281">
        <v>39096</v>
      </c>
      <c r="E287" s="281">
        <v>0</v>
      </c>
      <c r="F287" s="281">
        <v>0</v>
      </c>
      <c r="G287" s="281">
        <v>0</v>
      </c>
      <c r="H287" s="281">
        <v>0</v>
      </c>
      <c r="I287" s="281">
        <v>0</v>
      </c>
      <c r="J287" s="382"/>
      <c r="K287" s="382" t="s">
        <v>5119</v>
      </c>
      <c r="L287" s="280"/>
      <c r="M287" s="280"/>
      <c r="N287" s="283"/>
      <c r="O287" s="68"/>
      <c r="P287" s="68"/>
      <c r="Q287" s="68"/>
      <c r="R287" s="68"/>
      <c r="S287" s="68">
        <v>600000</v>
      </c>
      <c r="T287" s="428"/>
      <c r="U287" s="59"/>
      <c r="V287" s="43"/>
    </row>
    <row r="288" spans="1:22" s="39" customFormat="1" outlineLevel="2" x14ac:dyDescent="0.25">
      <c r="A288" s="14">
        <v>3613</v>
      </c>
      <c r="B288" s="14">
        <v>2324</v>
      </c>
      <c r="C288" s="18">
        <v>2950</v>
      </c>
      <c r="D288" s="14">
        <v>39078</v>
      </c>
      <c r="E288" s="14">
        <v>0</v>
      </c>
      <c r="F288" s="14">
        <v>0</v>
      </c>
      <c r="G288" s="14">
        <v>0</v>
      </c>
      <c r="H288" s="14">
        <v>0</v>
      </c>
      <c r="I288" s="13">
        <v>0</v>
      </c>
      <c r="J288" s="14" t="str">
        <f>CONCATENATE(A288,"/",B288,"/",C288,"/",D288,"/",E288,"/",F288,"/",G288,"/",H288,"/",I288)</f>
        <v>3613/2324/2950/39078/0/0/0/0/0</v>
      </c>
      <c r="K288" s="21" t="s">
        <v>158</v>
      </c>
      <c r="L288" s="22">
        <v>0</v>
      </c>
      <c r="M288" s="22">
        <v>0</v>
      </c>
      <c r="N288" s="20"/>
      <c r="O288" s="17">
        <v>1693</v>
      </c>
      <c r="P288" s="17"/>
      <c r="Q288" s="17">
        <v>2000</v>
      </c>
      <c r="R288" s="17">
        <v>2000</v>
      </c>
      <c r="S288" s="17"/>
      <c r="T288" s="166"/>
      <c r="V288" s="43"/>
    </row>
    <row r="289" spans="1:22" s="39" customFormat="1" outlineLevel="2" x14ac:dyDescent="0.25">
      <c r="A289" s="14">
        <v>3613</v>
      </c>
      <c r="B289" s="14">
        <v>2111</v>
      </c>
      <c r="C289" s="18">
        <v>2950</v>
      </c>
      <c r="D289" s="14">
        <v>39078</v>
      </c>
      <c r="E289" s="14">
        <v>0</v>
      </c>
      <c r="F289" s="14">
        <v>0</v>
      </c>
      <c r="G289" s="14">
        <v>0</v>
      </c>
      <c r="H289" s="14">
        <v>0</v>
      </c>
      <c r="I289" s="13">
        <v>0</v>
      </c>
      <c r="J289" s="14" t="str">
        <f>CONCATENATE(A289,"/",B289,"/",C289,"/",D289,"/",E289,"/",F289,"/",G289,"/",H289,"/",I289)</f>
        <v>3613/2111/2950/39078/0/0/0/0/0</v>
      </c>
      <c r="K289" s="21" t="s">
        <v>159</v>
      </c>
      <c r="L289" s="22">
        <v>869416</v>
      </c>
      <c r="M289" s="22">
        <v>993733.5</v>
      </c>
      <c r="N289" s="20">
        <v>1037724.5</v>
      </c>
      <c r="O289" s="17">
        <f>36850+38544.5</f>
        <v>75394.5</v>
      </c>
      <c r="P289" s="17"/>
      <c r="Q289" s="22"/>
      <c r="R289" s="22"/>
      <c r="S289" s="22"/>
      <c r="T289" s="166"/>
      <c r="V289" s="43"/>
    </row>
    <row r="290" spans="1:22" s="39" customFormat="1" outlineLevel="2" x14ac:dyDescent="0.25">
      <c r="A290" s="237">
        <v>3613</v>
      </c>
      <c r="B290" s="237">
        <v>2111</v>
      </c>
      <c r="C290" s="237">
        <v>2950</v>
      </c>
      <c r="D290" s="237">
        <v>39078</v>
      </c>
      <c r="E290" s="237">
        <v>0</v>
      </c>
      <c r="F290" s="237">
        <v>0</v>
      </c>
      <c r="G290" s="237">
        <v>0</v>
      </c>
      <c r="H290" s="237">
        <v>7</v>
      </c>
      <c r="I290" s="237">
        <v>0</v>
      </c>
      <c r="J290" s="14" t="s">
        <v>4547</v>
      </c>
      <c r="K290" s="238" t="s">
        <v>2981</v>
      </c>
      <c r="L290" s="22"/>
      <c r="M290" s="22"/>
      <c r="N290" s="20"/>
      <c r="O290" s="17"/>
      <c r="P290" s="17">
        <v>5610.5</v>
      </c>
      <c r="Q290" s="17"/>
      <c r="R290" s="17"/>
      <c r="S290" s="17"/>
      <c r="T290" s="166"/>
      <c r="V290" s="43"/>
    </row>
    <row r="291" spans="1:22" s="39" customFormat="1" outlineLevel="2" x14ac:dyDescent="0.25">
      <c r="A291" s="237">
        <v>1014</v>
      </c>
      <c r="B291" s="237">
        <v>2324</v>
      </c>
      <c r="C291" s="237">
        <v>2950</v>
      </c>
      <c r="D291" s="237">
        <v>65739</v>
      </c>
      <c r="E291" s="237">
        <v>0</v>
      </c>
      <c r="F291" s="237">
        <v>0</v>
      </c>
      <c r="G291" s="237">
        <v>0</v>
      </c>
      <c r="H291" s="237">
        <v>0</v>
      </c>
      <c r="I291" s="237">
        <v>0</v>
      </c>
      <c r="J291" s="14" t="s">
        <v>4584</v>
      </c>
      <c r="K291" s="238" t="s">
        <v>3447</v>
      </c>
      <c r="L291" s="22"/>
      <c r="M291" s="22"/>
      <c r="N291" s="20"/>
      <c r="O291" s="17"/>
      <c r="P291" s="17">
        <v>12680.19</v>
      </c>
      <c r="Q291" s="17"/>
      <c r="R291" s="17"/>
      <c r="S291" s="17"/>
      <c r="T291" s="57"/>
      <c r="U291" s="59"/>
      <c r="V291" s="43"/>
    </row>
    <row r="292" spans="1:22" s="39" customFormat="1" outlineLevel="2" x14ac:dyDescent="0.25">
      <c r="A292" s="237">
        <v>3613</v>
      </c>
      <c r="B292" s="237">
        <v>2324</v>
      </c>
      <c r="C292" s="237">
        <v>2950</v>
      </c>
      <c r="D292" s="237">
        <v>11001</v>
      </c>
      <c r="E292" s="237">
        <v>0</v>
      </c>
      <c r="F292" s="237">
        <v>0</v>
      </c>
      <c r="G292" s="237">
        <v>0</v>
      </c>
      <c r="H292" s="237">
        <v>0</v>
      </c>
      <c r="I292" s="237">
        <v>0</v>
      </c>
      <c r="J292" s="14" t="s">
        <v>4592</v>
      </c>
      <c r="K292" s="238" t="s">
        <v>2377</v>
      </c>
      <c r="L292" s="22"/>
      <c r="M292" s="22"/>
      <c r="N292" s="20"/>
      <c r="O292" s="17"/>
      <c r="P292" s="17">
        <v>4680.08</v>
      </c>
      <c r="Q292" s="17"/>
      <c r="R292" s="17"/>
      <c r="S292" s="17"/>
      <c r="T292" s="166"/>
      <c r="V292" s="43"/>
    </row>
    <row r="293" spans="1:22" s="39" customFormat="1" outlineLevel="2" x14ac:dyDescent="0.25">
      <c r="A293" s="237">
        <v>3613</v>
      </c>
      <c r="B293" s="237">
        <v>2324</v>
      </c>
      <c r="C293" s="237">
        <v>2950</v>
      </c>
      <c r="D293" s="237">
        <v>11630</v>
      </c>
      <c r="E293" s="237">
        <v>0</v>
      </c>
      <c r="F293" s="237">
        <v>0</v>
      </c>
      <c r="G293" s="237">
        <v>0</v>
      </c>
      <c r="H293" s="237">
        <v>0</v>
      </c>
      <c r="I293" s="237">
        <v>0</v>
      </c>
      <c r="J293" s="14" t="s">
        <v>4593</v>
      </c>
      <c r="K293" s="238" t="s">
        <v>601</v>
      </c>
      <c r="L293" s="22"/>
      <c r="M293" s="22"/>
      <c r="N293" s="20"/>
      <c r="O293" s="17"/>
      <c r="P293" s="17">
        <v>22051.18</v>
      </c>
      <c r="Q293" s="17"/>
      <c r="R293" s="17"/>
      <c r="S293" s="17"/>
      <c r="T293" s="166"/>
      <c r="V293" s="43"/>
    </row>
    <row r="294" spans="1:22" s="39" customFormat="1" outlineLevel="2" x14ac:dyDescent="0.25">
      <c r="A294" s="237">
        <v>3613</v>
      </c>
      <c r="B294" s="237">
        <v>2111</v>
      </c>
      <c r="C294" s="237">
        <v>2950</v>
      </c>
      <c r="D294" s="237">
        <v>13027</v>
      </c>
      <c r="E294" s="237">
        <v>0</v>
      </c>
      <c r="F294" s="237">
        <v>0</v>
      </c>
      <c r="G294" s="237">
        <v>0</v>
      </c>
      <c r="H294" s="237">
        <v>7</v>
      </c>
      <c r="I294" s="237">
        <v>0</v>
      </c>
      <c r="J294" s="14" t="s">
        <v>4545</v>
      </c>
      <c r="K294" s="238" t="s">
        <v>2513</v>
      </c>
      <c r="L294" s="22"/>
      <c r="M294" s="22"/>
      <c r="N294" s="20"/>
      <c r="O294" s="17"/>
      <c r="P294" s="17">
        <v>5492</v>
      </c>
      <c r="Q294" s="17"/>
      <c r="R294" s="17"/>
      <c r="S294" s="17"/>
      <c r="T294" s="166"/>
      <c r="V294" s="43"/>
    </row>
    <row r="295" spans="1:22" s="39" customFormat="1" outlineLevel="2" x14ac:dyDescent="0.25">
      <c r="A295" s="237">
        <v>3412</v>
      </c>
      <c r="B295" s="237">
        <v>2111</v>
      </c>
      <c r="C295" s="237">
        <v>2950</v>
      </c>
      <c r="D295" s="237">
        <v>16420</v>
      </c>
      <c r="E295" s="237">
        <v>0</v>
      </c>
      <c r="F295" s="237">
        <v>0</v>
      </c>
      <c r="G295" s="237">
        <v>0</v>
      </c>
      <c r="H295" s="237">
        <v>0</v>
      </c>
      <c r="I295" s="237">
        <v>0</v>
      </c>
      <c r="J295" s="14" t="s">
        <v>4536</v>
      </c>
      <c r="K295" s="238" t="s">
        <v>617</v>
      </c>
      <c r="L295" s="22"/>
      <c r="M295" s="22"/>
      <c r="N295" s="20"/>
      <c r="O295" s="17"/>
      <c r="P295" s="17">
        <v>14574.78</v>
      </c>
      <c r="Q295" s="17"/>
      <c r="R295" s="17"/>
      <c r="S295" s="17"/>
      <c r="T295" s="166"/>
      <c r="U295" s="59"/>
      <c r="V295" s="43"/>
    </row>
    <row r="296" spans="1:22" s="39" customFormat="1" outlineLevel="2" x14ac:dyDescent="0.25">
      <c r="A296" s="237">
        <v>3412</v>
      </c>
      <c r="B296" s="237">
        <v>2111</v>
      </c>
      <c r="C296" s="237">
        <v>2950</v>
      </c>
      <c r="D296" s="237">
        <v>16420</v>
      </c>
      <c r="E296" s="237">
        <v>0</v>
      </c>
      <c r="F296" s="237">
        <v>0</v>
      </c>
      <c r="G296" s="237">
        <v>0</v>
      </c>
      <c r="H296" s="237">
        <v>7</v>
      </c>
      <c r="I296" s="237">
        <v>0</v>
      </c>
      <c r="J296" s="14" t="s">
        <v>4537</v>
      </c>
      <c r="K296" s="238" t="s">
        <v>617</v>
      </c>
      <c r="L296" s="22"/>
      <c r="M296" s="22"/>
      <c r="N296" s="20"/>
      <c r="O296" s="17"/>
      <c r="P296" s="17">
        <v>8205</v>
      </c>
      <c r="Q296" s="17"/>
      <c r="R296" s="17"/>
      <c r="S296" s="17"/>
      <c r="T296" s="166"/>
      <c r="U296" s="59"/>
      <c r="V296" s="43"/>
    </row>
    <row r="297" spans="1:22" s="39" customFormat="1" outlineLevel="2" x14ac:dyDescent="0.25">
      <c r="A297" s="237">
        <v>3412</v>
      </c>
      <c r="B297" s="237">
        <v>2132</v>
      </c>
      <c r="C297" s="237">
        <v>2950</v>
      </c>
      <c r="D297" s="237">
        <v>16420</v>
      </c>
      <c r="E297" s="237">
        <v>0</v>
      </c>
      <c r="F297" s="237">
        <v>0</v>
      </c>
      <c r="G297" s="237">
        <v>0</v>
      </c>
      <c r="H297" s="237">
        <v>0</v>
      </c>
      <c r="I297" s="237">
        <v>0</v>
      </c>
      <c r="J297" s="14" t="s">
        <v>4556</v>
      </c>
      <c r="K297" s="238" t="s">
        <v>617</v>
      </c>
      <c r="L297" s="22"/>
      <c r="M297" s="22"/>
      <c r="N297" s="20"/>
      <c r="O297" s="17"/>
      <c r="P297" s="17">
        <v>35574</v>
      </c>
      <c r="Q297" s="17"/>
      <c r="R297" s="17"/>
      <c r="S297" s="17"/>
      <c r="T297" s="166"/>
      <c r="U297" s="59"/>
      <c r="V297" s="43"/>
    </row>
    <row r="298" spans="1:22" s="39" customFormat="1" outlineLevel="2" x14ac:dyDescent="0.25">
      <c r="A298" s="237">
        <v>3412</v>
      </c>
      <c r="B298" s="237">
        <v>2324</v>
      </c>
      <c r="C298" s="237">
        <v>2950</v>
      </c>
      <c r="D298" s="237">
        <v>16420</v>
      </c>
      <c r="E298" s="237">
        <v>0</v>
      </c>
      <c r="F298" s="237">
        <v>0</v>
      </c>
      <c r="G298" s="237">
        <v>0</v>
      </c>
      <c r="H298" s="237">
        <v>0</v>
      </c>
      <c r="I298" s="237">
        <v>0</v>
      </c>
      <c r="J298" s="14" t="s">
        <v>4588</v>
      </c>
      <c r="K298" s="238" t="s">
        <v>4518</v>
      </c>
      <c r="L298" s="22"/>
      <c r="M298" s="22"/>
      <c r="N298" s="20"/>
      <c r="O298" s="17"/>
      <c r="P298" s="17">
        <v>80307</v>
      </c>
      <c r="Q298" s="17"/>
      <c r="R298" s="17"/>
      <c r="S298" s="17"/>
      <c r="T298" s="166"/>
      <c r="U298" s="59"/>
      <c r="V298" s="43"/>
    </row>
    <row r="299" spans="1:22" s="39" customFormat="1" outlineLevel="2" x14ac:dyDescent="0.25">
      <c r="A299" s="14">
        <v>3412</v>
      </c>
      <c r="B299" s="14">
        <v>2132</v>
      </c>
      <c r="C299" s="18">
        <v>2950</v>
      </c>
      <c r="D299" s="172">
        <v>43526</v>
      </c>
      <c r="E299" s="14">
        <v>0</v>
      </c>
      <c r="F299" s="14">
        <v>0</v>
      </c>
      <c r="G299" s="14">
        <v>0</v>
      </c>
      <c r="H299" s="14">
        <v>0</v>
      </c>
      <c r="I299" s="13">
        <v>0</v>
      </c>
      <c r="J299" s="14" t="str">
        <f>CONCATENATE(A299,"/",B299,"/",C299,"/",D299,"/",E299,"/",F299,"/",G299,"/",H299,"/",I299)</f>
        <v>3412/2132/2950/43526/0/0/0/0/0</v>
      </c>
      <c r="K299" s="21" t="s">
        <v>3700</v>
      </c>
      <c r="L299" s="22"/>
      <c r="M299" s="22"/>
      <c r="N299" s="20"/>
      <c r="O299" s="17">
        <v>44551.5</v>
      </c>
      <c r="P299" s="17">
        <v>89103</v>
      </c>
      <c r="Q299" s="165">
        <v>89100</v>
      </c>
      <c r="R299" s="165">
        <v>89100</v>
      </c>
      <c r="S299" s="165">
        <v>89103</v>
      </c>
      <c r="T299" s="166"/>
      <c r="U299" s="59"/>
      <c r="V299" s="43"/>
    </row>
    <row r="300" spans="1:22" s="39" customFormat="1" outlineLevel="1" x14ac:dyDescent="0.25">
      <c r="A300" s="420"/>
      <c r="B300" s="420"/>
      <c r="C300" s="421" t="s">
        <v>4680</v>
      </c>
      <c r="D300" s="420"/>
      <c r="E300" s="420"/>
      <c r="F300" s="420"/>
      <c r="G300" s="420"/>
      <c r="H300" s="420"/>
      <c r="I300" s="420"/>
      <c r="J300" s="14"/>
      <c r="K300" s="422"/>
      <c r="L300" s="412">
        <f t="shared" ref="L300:S300" si="36">SUBTOTAL(9,L194:L299)</f>
        <v>56403906.579999991</v>
      </c>
      <c r="M300" s="412">
        <f t="shared" si="36"/>
        <v>54414048.769999988</v>
      </c>
      <c r="N300" s="413">
        <f t="shared" si="36"/>
        <v>57348555.199999996</v>
      </c>
      <c r="O300" s="414">
        <f t="shared" si="36"/>
        <v>61779749.469999999</v>
      </c>
      <c r="P300" s="414">
        <f t="shared" si="36"/>
        <v>75848270.659999996</v>
      </c>
      <c r="Q300" s="414">
        <f t="shared" si="36"/>
        <v>50041720</v>
      </c>
      <c r="R300" s="414">
        <f t="shared" si="36"/>
        <v>50425964</v>
      </c>
      <c r="S300" s="414">
        <f t="shared" si="36"/>
        <v>54490596</v>
      </c>
      <c r="T300" s="415"/>
      <c r="V300" s="43"/>
    </row>
    <row r="301" spans="1:22" s="39" customFormat="1" outlineLevel="2" x14ac:dyDescent="0.25">
      <c r="A301" s="14">
        <v>0</v>
      </c>
      <c r="B301" s="14">
        <v>1343</v>
      </c>
      <c r="C301" s="18">
        <v>2960</v>
      </c>
      <c r="D301" s="14">
        <v>30001</v>
      </c>
      <c r="E301" s="14">
        <v>0</v>
      </c>
      <c r="F301" s="14">
        <v>0</v>
      </c>
      <c r="G301" s="14">
        <v>0</v>
      </c>
      <c r="H301" s="14">
        <v>0</v>
      </c>
      <c r="I301" s="13">
        <v>0</v>
      </c>
      <c r="J301" s="14" t="str">
        <f t="shared" ref="J301:J316" si="37">CONCATENATE(A301,"/",B301,"/",C301,"/",D301,"/",E301,"/",F301,"/",G301,"/",H301,"/",I301)</f>
        <v>0/1343/2960/30001/0/0/0/0/0</v>
      </c>
      <c r="K301" s="21" t="s">
        <v>92</v>
      </c>
      <c r="L301" s="22">
        <v>1189994</v>
      </c>
      <c r="M301" s="22">
        <v>1230053</v>
      </c>
      <c r="N301" s="20">
        <v>1001470</v>
      </c>
      <c r="O301" s="17">
        <v>858196.2</v>
      </c>
      <c r="P301" s="17">
        <v>1901676.3</v>
      </c>
      <c r="Q301" s="17">
        <v>700000</v>
      </c>
      <c r="R301" s="17">
        <v>700000</v>
      </c>
      <c r="S301" s="17">
        <v>900000</v>
      </c>
      <c r="T301" s="254"/>
      <c r="V301" s="43"/>
    </row>
    <row r="302" spans="1:22" s="39" customFormat="1" outlineLevel="2" x14ac:dyDescent="0.25">
      <c r="A302" s="14">
        <v>0</v>
      </c>
      <c r="B302" s="14">
        <v>2111</v>
      </c>
      <c r="C302" s="18">
        <v>2960</v>
      </c>
      <c r="D302" s="14">
        <v>0</v>
      </c>
      <c r="E302" s="14">
        <v>0</v>
      </c>
      <c r="F302" s="14">
        <v>0</v>
      </c>
      <c r="G302" s="14">
        <v>0</v>
      </c>
      <c r="H302" s="14">
        <v>0</v>
      </c>
      <c r="I302" s="13">
        <v>0</v>
      </c>
      <c r="J302" s="14" t="str">
        <f t="shared" si="37"/>
        <v>0/2111/2960/0/0/0/0/0/0</v>
      </c>
      <c r="K302" s="21" t="s">
        <v>4456</v>
      </c>
      <c r="L302" s="22">
        <f>59071.57+11000</f>
        <v>70071.570000000007</v>
      </c>
      <c r="M302" s="22">
        <f>85026.36+251000</f>
        <v>336026.36</v>
      </c>
      <c r="N302" s="20">
        <f>12100+4748+750</f>
        <v>17598</v>
      </c>
      <c r="O302" s="17">
        <v>0</v>
      </c>
      <c r="P302" s="17"/>
      <c r="Q302" s="17"/>
      <c r="R302" s="17"/>
      <c r="S302" s="17"/>
      <c r="T302" s="166"/>
      <c r="V302" s="43"/>
    </row>
    <row r="303" spans="1:22" s="39" customFormat="1" outlineLevel="2" x14ac:dyDescent="0.25">
      <c r="A303" s="14">
        <v>1014</v>
      </c>
      <c r="B303" s="14">
        <v>2111</v>
      </c>
      <c r="C303" s="18">
        <v>2960</v>
      </c>
      <c r="D303" s="14">
        <v>0</v>
      </c>
      <c r="E303" s="14">
        <v>0</v>
      </c>
      <c r="F303" s="14">
        <v>0</v>
      </c>
      <c r="G303" s="14">
        <v>0</v>
      </c>
      <c r="H303" s="14">
        <v>0</v>
      </c>
      <c r="I303" s="13">
        <v>0</v>
      </c>
      <c r="J303" s="14" t="str">
        <f t="shared" si="37"/>
        <v>1014/2111/2960/0/0/0/0/0/0</v>
      </c>
      <c r="K303" s="21" t="s">
        <v>95</v>
      </c>
      <c r="L303" s="22">
        <v>37920</v>
      </c>
      <c r="M303" s="22">
        <v>21360</v>
      </c>
      <c r="N303" s="20">
        <v>26160</v>
      </c>
      <c r="O303" s="17">
        <v>4800</v>
      </c>
      <c r="P303" s="17">
        <v>16080</v>
      </c>
      <c r="Q303" s="17">
        <v>10000</v>
      </c>
      <c r="R303" s="17">
        <v>10000</v>
      </c>
      <c r="S303" s="17">
        <v>10000</v>
      </c>
      <c r="T303" s="166"/>
      <c r="V303" s="43"/>
    </row>
    <row r="304" spans="1:22" s="39" customFormat="1" outlineLevel="2" x14ac:dyDescent="0.25">
      <c r="A304" s="14">
        <v>2144</v>
      </c>
      <c r="B304" s="14">
        <v>2142</v>
      </c>
      <c r="C304" s="18">
        <v>2960</v>
      </c>
      <c r="D304" s="14">
        <v>0</v>
      </c>
      <c r="E304" s="14">
        <v>0</v>
      </c>
      <c r="F304" s="14">
        <v>0</v>
      </c>
      <c r="G304" s="14">
        <v>0</v>
      </c>
      <c r="H304" s="14">
        <v>0</v>
      </c>
      <c r="I304" s="13">
        <v>0</v>
      </c>
      <c r="J304" s="14" t="str">
        <f t="shared" si="37"/>
        <v>2144/2142/2960/0/0/0/0/0/0</v>
      </c>
      <c r="K304" s="21" t="s">
        <v>3987</v>
      </c>
      <c r="L304" s="22"/>
      <c r="M304" s="22"/>
      <c r="N304" s="20"/>
      <c r="O304" s="17">
        <v>26375.58</v>
      </c>
      <c r="P304" s="17">
        <v>22306.29</v>
      </c>
      <c r="Q304" s="17"/>
      <c r="R304" s="17"/>
      <c r="S304" s="17"/>
      <c r="T304" s="166"/>
      <c r="V304" s="43"/>
    </row>
    <row r="305" spans="1:22" s="39" customFormat="1" outlineLevel="2" x14ac:dyDescent="0.25">
      <c r="A305" s="254">
        <v>2212</v>
      </c>
      <c r="B305" s="254">
        <v>2324</v>
      </c>
      <c r="C305" s="254">
        <v>2960</v>
      </c>
      <c r="D305" s="254">
        <v>0</v>
      </c>
      <c r="E305" s="14">
        <v>0</v>
      </c>
      <c r="F305" s="14">
        <v>0</v>
      </c>
      <c r="G305" s="14">
        <v>0</v>
      </c>
      <c r="H305" s="14">
        <v>0</v>
      </c>
      <c r="I305" s="13">
        <v>0</v>
      </c>
      <c r="J305" s="14" t="str">
        <f t="shared" si="37"/>
        <v>2212/2324/2960/0/0/0/0/0/0</v>
      </c>
      <c r="K305" s="152" t="s">
        <v>862</v>
      </c>
      <c r="L305" s="22"/>
      <c r="M305" s="22"/>
      <c r="N305" s="20"/>
      <c r="O305" s="17">
        <v>0</v>
      </c>
      <c r="P305" s="17">
        <v>1572</v>
      </c>
      <c r="Q305" s="17">
        <v>500</v>
      </c>
      <c r="R305" s="17">
        <v>500</v>
      </c>
      <c r="S305" s="17">
        <v>500</v>
      </c>
      <c r="T305" s="57"/>
      <c r="V305" s="43"/>
    </row>
    <row r="306" spans="1:22" s="39" customFormat="1" outlineLevel="2" x14ac:dyDescent="0.25">
      <c r="A306" s="14">
        <v>2219</v>
      </c>
      <c r="B306" s="14">
        <v>2111</v>
      </c>
      <c r="C306" s="18">
        <v>2960</v>
      </c>
      <c r="D306" s="14">
        <v>31770</v>
      </c>
      <c r="E306" s="14">
        <v>0</v>
      </c>
      <c r="F306" s="14">
        <v>0</v>
      </c>
      <c r="G306" s="14">
        <v>0</v>
      </c>
      <c r="H306" s="14">
        <v>0</v>
      </c>
      <c r="I306" s="13">
        <v>0</v>
      </c>
      <c r="J306" s="14" t="str">
        <f t="shared" si="37"/>
        <v>2219/2111/2960/31770/0/0/0/0/0</v>
      </c>
      <c r="K306" s="21" t="s">
        <v>91</v>
      </c>
      <c r="L306" s="22">
        <v>149500</v>
      </c>
      <c r="M306" s="22">
        <v>144450</v>
      </c>
      <c r="N306" s="20">
        <v>146600</v>
      </c>
      <c r="O306" s="17">
        <v>166800</v>
      </c>
      <c r="P306" s="17">
        <v>169000</v>
      </c>
      <c r="Q306" s="17">
        <v>150000</v>
      </c>
      <c r="R306" s="17">
        <v>150000</v>
      </c>
      <c r="S306" s="17">
        <v>160000</v>
      </c>
      <c r="T306" s="166"/>
      <c r="V306" s="43"/>
    </row>
    <row r="307" spans="1:22" s="39" customFormat="1" outlineLevel="2" x14ac:dyDescent="0.25">
      <c r="A307" s="14">
        <v>2219</v>
      </c>
      <c r="B307" s="14">
        <v>2111</v>
      </c>
      <c r="C307" s="18">
        <v>2960</v>
      </c>
      <c r="D307" s="14">
        <v>31760</v>
      </c>
      <c r="E307" s="14">
        <v>0</v>
      </c>
      <c r="F307" s="14">
        <v>0</v>
      </c>
      <c r="G307" s="14">
        <v>0</v>
      </c>
      <c r="H307" s="14">
        <v>0</v>
      </c>
      <c r="I307" s="13">
        <v>0</v>
      </c>
      <c r="J307" s="14" t="str">
        <f t="shared" si="37"/>
        <v>2219/2111/2960/31760/0/0/0/0/0</v>
      </c>
      <c r="K307" s="19" t="s">
        <v>99</v>
      </c>
      <c r="L307" s="22">
        <v>1868766</v>
      </c>
      <c r="M307" s="22">
        <v>1822508</v>
      </c>
      <c r="N307" s="20">
        <v>1331544</v>
      </c>
      <c r="O307" s="17">
        <v>1383055</v>
      </c>
      <c r="P307" s="17">
        <v>1655948</v>
      </c>
      <c r="Q307" s="17">
        <v>1000000</v>
      </c>
      <c r="R307" s="17">
        <v>1000000</v>
      </c>
      <c r="S307" s="17">
        <v>1200000</v>
      </c>
      <c r="T307" s="166"/>
      <c r="V307" s="43"/>
    </row>
    <row r="308" spans="1:22" s="39" customFormat="1" outlineLevel="2" x14ac:dyDescent="0.25">
      <c r="A308" s="14">
        <v>2219</v>
      </c>
      <c r="B308" s="14">
        <v>2111</v>
      </c>
      <c r="C308" s="18">
        <v>2960</v>
      </c>
      <c r="D308" s="14">
        <v>31780</v>
      </c>
      <c r="E308" s="14">
        <v>0</v>
      </c>
      <c r="F308" s="14">
        <v>0</v>
      </c>
      <c r="G308" s="14">
        <v>0</v>
      </c>
      <c r="H308" s="14">
        <v>0</v>
      </c>
      <c r="I308" s="13">
        <v>0</v>
      </c>
      <c r="J308" s="14" t="str">
        <f t="shared" si="37"/>
        <v>2219/2111/2960/31780/0/0/0/0/0</v>
      </c>
      <c r="K308" s="21" t="s">
        <v>100</v>
      </c>
      <c r="L308" s="22">
        <v>49501.91</v>
      </c>
      <c r="M308" s="22">
        <v>68734.570000000007</v>
      </c>
      <c r="N308" s="20">
        <v>56547.71</v>
      </c>
      <c r="O308" s="17">
        <f>67637.29+3070.45</f>
        <v>70707.739999999991</v>
      </c>
      <c r="P308" s="17">
        <v>116856.61</v>
      </c>
      <c r="Q308" s="17">
        <v>50000</v>
      </c>
      <c r="R308" s="17">
        <v>50000</v>
      </c>
      <c r="S308" s="17">
        <v>90000</v>
      </c>
      <c r="T308" s="166"/>
      <c r="V308" s="43"/>
    </row>
    <row r="309" spans="1:22" s="39" customFormat="1" outlineLevel="2" x14ac:dyDescent="0.25">
      <c r="A309" s="14">
        <v>2219</v>
      </c>
      <c r="B309" s="14">
        <v>2322</v>
      </c>
      <c r="C309" s="18">
        <v>2960</v>
      </c>
      <c r="D309" s="14">
        <v>0</v>
      </c>
      <c r="E309" s="14">
        <v>0</v>
      </c>
      <c r="F309" s="14">
        <v>0</v>
      </c>
      <c r="G309" s="14">
        <v>0</v>
      </c>
      <c r="H309" s="14">
        <v>0</v>
      </c>
      <c r="I309" s="13">
        <v>0</v>
      </c>
      <c r="J309" s="14" t="str">
        <f t="shared" si="37"/>
        <v>2219/2322/2960/0/0/0/0/0/0</v>
      </c>
      <c r="K309" s="21" t="s">
        <v>96</v>
      </c>
      <c r="L309" s="22">
        <v>0</v>
      </c>
      <c r="M309" s="22">
        <v>0</v>
      </c>
      <c r="N309" s="20">
        <v>7215</v>
      </c>
      <c r="O309" s="17">
        <f>10556+8387+3595</f>
        <v>22538</v>
      </c>
      <c r="P309" s="17">
        <v>19310</v>
      </c>
      <c r="Q309" s="17">
        <v>5000</v>
      </c>
      <c r="R309" s="17">
        <v>5000</v>
      </c>
      <c r="S309" s="17">
        <v>5000</v>
      </c>
      <c r="T309" s="57"/>
      <c r="V309" s="43"/>
    </row>
    <row r="310" spans="1:22" s="39" customFormat="1" outlineLevel="2" x14ac:dyDescent="0.25">
      <c r="A310" s="14">
        <v>2229</v>
      </c>
      <c r="B310" s="14">
        <v>2111</v>
      </c>
      <c r="C310" s="18">
        <v>2960</v>
      </c>
      <c r="D310" s="14">
        <v>0</v>
      </c>
      <c r="E310" s="14">
        <v>0</v>
      </c>
      <c r="F310" s="14">
        <v>0</v>
      </c>
      <c r="G310" s="14">
        <v>0</v>
      </c>
      <c r="H310" s="14">
        <v>1</v>
      </c>
      <c r="I310" s="13">
        <v>0</v>
      </c>
      <c r="J310" s="14" t="str">
        <f t="shared" si="37"/>
        <v>2229/2111/2960/0/0/0/0/1/0</v>
      </c>
      <c r="K310" s="21" t="s">
        <v>90</v>
      </c>
      <c r="L310" s="22">
        <v>0</v>
      </c>
      <c r="M310" s="22">
        <v>0</v>
      </c>
      <c r="N310" s="20"/>
      <c r="O310" s="17">
        <v>0</v>
      </c>
      <c r="P310" s="17"/>
      <c r="Q310" s="17">
        <v>1950</v>
      </c>
      <c r="R310" s="17">
        <v>1950</v>
      </c>
      <c r="S310" s="17">
        <v>500</v>
      </c>
      <c r="T310" s="166"/>
      <c r="V310" s="43"/>
    </row>
    <row r="311" spans="1:22" s="39" customFormat="1" outlineLevel="2" x14ac:dyDescent="0.25">
      <c r="A311" s="14">
        <v>2229</v>
      </c>
      <c r="B311" s="14">
        <v>2111</v>
      </c>
      <c r="C311" s="18">
        <v>2960</v>
      </c>
      <c r="D311" s="14">
        <v>0</v>
      </c>
      <c r="E311" s="14">
        <v>0</v>
      </c>
      <c r="F311" s="14">
        <v>0</v>
      </c>
      <c r="G311" s="14">
        <v>0</v>
      </c>
      <c r="H311" s="14">
        <v>0</v>
      </c>
      <c r="I311" s="13">
        <v>0</v>
      </c>
      <c r="J311" s="14" t="str">
        <f t="shared" si="37"/>
        <v>2229/2111/2960/0/0/0/0/0/0</v>
      </c>
      <c r="K311" s="21" t="s">
        <v>94</v>
      </c>
      <c r="L311" s="22">
        <v>143034.1</v>
      </c>
      <c r="M311" s="22">
        <v>141576</v>
      </c>
      <c r="N311" s="20">
        <v>133248.88</v>
      </c>
      <c r="O311" s="17">
        <v>128865</v>
      </c>
      <c r="P311" s="17">
        <v>135693.03</v>
      </c>
      <c r="Q311" s="17">
        <v>130000</v>
      </c>
      <c r="R311" s="17">
        <v>130000</v>
      </c>
      <c r="S311" s="17">
        <v>135000</v>
      </c>
      <c r="T311" s="166"/>
      <c r="V311" s="43"/>
    </row>
    <row r="312" spans="1:22" s="39" customFormat="1" outlineLevel="2" x14ac:dyDescent="0.25">
      <c r="A312" s="14">
        <v>3311</v>
      </c>
      <c r="B312" s="14">
        <v>2111</v>
      </c>
      <c r="C312" s="18">
        <v>2960</v>
      </c>
      <c r="D312" s="14">
        <v>52654</v>
      </c>
      <c r="E312" s="14">
        <v>0</v>
      </c>
      <c r="F312" s="14">
        <v>0</v>
      </c>
      <c r="G312" s="14">
        <v>0</v>
      </c>
      <c r="H312" s="14">
        <v>0</v>
      </c>
      <c r="I312" s="13">
        <v>0</v>
      </c>
      <c r="J312" s="14" t="str">
        <f t="shared" si="37"/>
        <v>3311/2111/2960/52654/0/0/0/0/0</v>
      </c>
      <c r="K312" s="21" t="s">
        <v>3385</v>
      </c>
      <c r="L312" s="22"/>
      <c r="M312" s="22"/>
      <c r="N312" s="20"/>
      <c r="O312" s="17">
        <f>17763+300</f>
        <v>18063</v>
      </c>
      <c r="P312" s="17"/>
      <c r="Q312" s="17"/>
      <c r="R312" s="17"/>
      <c r="S312" s="17"/>
      <c r="T312" s="166"/>
      <c r="V312" s="43"/>
    </row>
    <row r="313" spans="1:22" s="39" customFormat="1" outlineLevel="2" x14ac:dyDescent="0.25">
      <c r="A313" s="14">
        <v>3319</v>
      </c>
      <c r="B313" s="14">
        <v>2111</v>
      </c>
      <c r="C313" s="18">
        <v>2960</v>
      </c>
      <c r="D313" s="14">
        <v>66000</v>
      </c>
      <c r="E313" s="14">
        <v>0</v>
      </c>
      <c r="F313" s="14">
        <v>0</v>
      </c>
      <c r="G313" s="14">
        <v>0</v>
      </c>
      <c r="H313" s="14">
        <v>0</v>
      </c>
      <c r="I313" s="13">
        <v>0</v>
      </c>
      <c r="J313" s="14" t="str">
        <f t="shared" si="37"/>
        <v>3319/2111/2960/66000/0/0/0/0/0</v>
      </c>
      <c r="K313" s="21" t="s">
        <v>3787</v>
      </c>
      <c r="L313" s="22"/>
      <c r="M313" s="22"/>
      <c r="N313" s="20">
        <v>9826</v>
      </c>
      <c r="O313" s="17">
        <v>0</v>
      </c>
      <c r="P313" s="17"/>
      <c r="Q313" s="17"/>
      <c r="R313" s="17"/>
      <c r="S313" s="17"/>
      <c r="T313" s="166"/>
      <c r="V313" s="43"/>
    </row>
    <row r="314" spans="1:22" s="39" customFormat="1" outlineLevel="2" x14ac:dyDescent="0.25">
      <c r="A314" s="14">
        <v>3319</v>
      </c>
      <c r="B314" s="14">
        <v>2133</v>
      </c>
      <c r="C314" s="18">
        <v>2960</v>
      </c>
      <c r="D314" s="14">
        <v>66000</v>
      </c>
      <c r="E314" s="14">
        <v>0</v>
      </c>
      <c r="F314" s="14">
        <v>0</v>
      </c>
      <c r="G314" s="14">
        <v>0</v>
      </c>
      <c r="H314" s="14">
        <v>0</v>
      </c>
      <c r="I314" s="13">
        <v>0</v>
      </c>
      <c r="J314" s="14" t="str">
        <f t="shared" si="37"/>
        <v>3319/2133/2960/66000/0/0/0/0/0</v>
      </c>
      <c r="K314" s="21" t="s">
        <v>3788</v>
      </c>
      <c r="L314" s="22"/>
      <c r="M314" s="22"/>
      <c r="N314" s="20">
        <v>20800</v>
      </c>
      <c r="O314" s="17">
        <v>0</v>
      </c>
      <c r="P314" s="17"/>
      <c r="Q314" s="17"/>
      <c r="R314" s="17"/>
      <c r="S314" s="17"/>
      <c r="T314" s="166"/>
      <c r="V314" s="43"/>
    </row>
    <row r="315" spans="1:22" s="39" customFormat="1" outlineLevel="2" x14ac:dyDescent="0.25">
      <c r="A315" s="254">
        <v>3631</v>
      </c>
      <c r="B315" s="254">
        <v>2111</v>
      </c>
      <c r="C315" s="254">
        <v>2960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3">
        <v>0</v>
      </c>
      <c r="J315" s="14" t="str">
        <f t="shared" si="37"/>
        <v>3631/2111/2960/0/0/0/0/0/0</v>
      </c>
      <c r="K315" s="152" t="s">
        <v>4403</v>
      </c>
      <c r="L315" s="22"/>
      <c r="M315" s="22"/>
      <c r="N315" s="20"/>
      <c r="O315" s="17">
        <v>0</v>
      </c>
      <c r="P315" s="17">
        <v>4595.12</v>
      </c>
      <c r="Q315" s="17">
        <v>500</v>
      </c>
      <c r="R315" s="17">
        <v>500</v>
      </c>
      <c r="S315" s="17">
        <v>500</v>
      </c>
      <c r="T315" s="166"/>
      <c r="V315" s="43"/>
    </row>
    <row r="316" spans="1:22" s="39" customFormat="1" outlineLevel="2" x14ac:dyDescent="0.25">
      <c r="A316" s="255">
        <v>3631</v>
      </c>
      <c r="B316" s="255">
        <v>2111</v>
      </c>
      <c r="C316" s="255">
        <v>2960</v>
      </c>
      <c r="D316" s="14">
        <v>0</v>
      </c>
      <c r="E316" s="14">
        <v>0</v>
      </c>
      <c r="F316" s="14">
        <v>0</v>
      </c>
      <c r="G316" s="14">
        <v>0</v>
      </c>
      <c r="H316" s="18">
        <v>1</v>
      </c>
      <c r="I316" s="13">
        <v>0</v>
      </c>
      <c r="J316" s="14" t="str">
        <f t="shared" si="37"/>
        <v>3631/2111/2960/0/0/0/0/1/0</v>
      </c>
      <c r="K316" s="270" t="s">
        <v>4404</v>
      </c>
      <c r="L316" s="17"/>
      <c r="M316" s="17"/>
      <c r="N316" s="166"/>
      <c r="O316" s="17">
        <v>0</v>
      </c>
      <c r="P316" s="17"/>
      <c r="Q316" s="17">
        <v>50000</v>
      </c>
      <c r="R316" s="17">
        <v>50000</v>
      </c>
      <c r="S316" s="17">
        <v>60500</v>
      </c>
      <c r="T316" s="166"/>
      <c r="V316" s="43"/>
    </row>
    <row r="317" spans="1:22" s="39" customFormat="1" outlineLevel="2" x14ac:dyDescent="0.25">
      <c r="A317" s="255">
        <v>3631</v>
      </c>
      <c r="B317" s="255">
        <v>2142</v>
      </c>
      <c r="C317" s="255">
        <v>2960</v>
      </c>
      <c r="D317" s="14"/>
      <c r="E317" s="14"/>
      <c r="F317" s="14"/>
      <c r="G317" s="14"/>
      <c r="H317" s="18"/>
      <c r="I317" s="13"/>
      <c r="J317" s="14"/>
      <c r="K317" s="270" t="s">
        <v>4652</v>
      </c>
      <c r="L317" s="17"/>
      <c r="M317" s="17"/>
      <c r="N317" s="166"/>
      <c r="O317" s="17"/>
      <c r="P317" s="17"/>
      <c r="Q317" s="17"/>
      <c r="R317" s="17"/>
      <c r="S317" s="17">
        <v>60500</v>
      </c>
      <c r="T317" s="166"/>
      <c r="V317" s="43"/>
    </row>
    <row r="318" spans="1:22" s="39" customFormat="1" outlineLevel="2" x14ac:dyDescent="0.25">
      <c r="A318" s="14">
        <v>3631</v>
      </c>
      <c r="B318" s="14">
        <v>2322</v>
      </c>
      <c r="C318" s="18">
        <v>2960</v>
      </c>
      <c r="D318" s="14">
        <v>0</v>
      </c>
      <c r="E318" s="14">
        <v>0</v>
      </c>
      <c r="F318" s="14">
        <v>0</v>
      </c>
      <c r="G318" s="14">
        <v>0</v>
      </c>
      <c r="H318" s="14">
        <v>0</v>
      </c>
      <c r="I318" s="13">
        <v>0</v>
      </c>
      <c r="J318" s="14" t="str">
        <f t="shared" ref="J318:J325" si="38">CONCATENATE(A318,"/",B318,"/",C318,"/",D318,"/",E318,"/",F318,"/",G318,"/",H318,"/",I318)</f>
        <v>3631/2322/2960/0/0/0/0/0/0</v>
      </c>
      <c r="K318" s="21" t="s">
        <v>98</v>
      </c>
      <c r="L318" s="22">
        <v>31884</v>
      </c>
      <c r="M318" s="22">
        <v>7262</v>
      </c>
      <c r="N318" s="20">
        <v>96385</v>
      </c>
      <c r="O318" s="17">
        <f>51876+2800.65</f>
        <v>54676.65</v>
      </c>
      <c r="P318" s="17">
        <v>44104</v>
      </c>
      <c r="Q318" s="17">
        <v>30000</v>
      </c>
      <c r="R318" s="17">
        <v>30000</v>
      </c>
      <c r="S318" s="17">
        <v>30000</v>
      </c>
      <c r="T318" s="57"/>
      <c r="V318" s="43"/>
    </row>
    <row r="319" spans="1:22" s="39" customFormat="1" outlineLevel="2" x14ac:dyDescent="0.25">
      <c r="A319" s="14">
        <v>3632</v>
      </c>
      <c r="B319" s="14">
        <v>2111</v>
      </c>
      <c r="C319" s="18">
        <v>2960</v>
      </c>
      <c r="D319" s="14">
        <v>0</v>
      </c>
      <c r="E319" s="14">
        <v>0</v>
      </c>
      <c r="F319" s="14">
        <v>0</v>
      </c>
      <c r="G319" s="14">
        <v>0</v>
      </c>
      <c r="H319" s="14">
        <v>0</v>
      </c>
      <c r="I319" s="13">
        <v>0</v>
      </c>
      <c r="J319" s="14" t="str">
        <f t="shared" si="38"/>
        <v>3632/2111/2960/0/0/0/0/0/0</v>
      </c>
      <c r="K319" s="21" t="s">
        <v>87</v>
      </c>
      <c r="L319" s="22">
        <v>729944.44</v>
      </c>
      <c r="M319" s="22">
        <v>639391</v>
      </c>
      <c r="N319" s="20">
        <v>656714</v>
      </c>
      <c r="O319" s="17">
        <v>558913</v>
      </c>
      <c r="P319" s="17">
        <v>554858.35</v>
      </c>
      <c r="Q319" s="17">
        <v>550000</v>
      </c>
      <c r="R319" s="17">
        <v>550000</v>
      </c>
      <c r="S319" s="17"/>
      <c r="T319" s="166"/>
      <c r="V319" s="43"/>
    </row>
    <row r="320" spans="1:22" s="39" customFormat="1" outlineLevel="2" x14ac:dyDescent="0.25">
      <c r="A320" s="14">
        <v>3632</v>
      </c>
      <c r="B320" s="14">
        <v>2139</v>
      </c>
      <c r="C320" s="18">
        <v>2960</v>
      </c>
      <c r="D320" s="14">
        <v>0</v>
      </c>
      <c r="E320" s="14">
        <v>0</v>
      </c>
      <c r="F320" s="14">
        <v>0</v>
      </c>
      <c r="G320" s="14">
        <v>0</v>
      </c>
      <c r="H320" s="14">
        <v>0</v>
      </c>
      <c r="I320" s="13">
        <v>0</v>
      </c>
      <c r="J320" s="14" t="str">
        <f t="shared" si="38"/>
        <v>3632/2139/2960/0/0/0/0/0/0</v>
      </c>
      <c r="K320" s="21" t="s">
        <v>86</v>
      </c>
      <c r="L320" s="22">
        <v>144001.45000000001</v>
      </c>
      <c r="M320" s="22">
        <v>126095</v>
      </c>
      <c r="N320" s="20">
        <f>141839+63</f>
        <v>141902</v>
      </c>
      <c r="O320" s="17">
        <v>114759</v>
      </c>
      <c r="P320" s="17">
        <v>121448.88</v>
      </c>
      <c r="Q320" s="17">
        <v>120000</v>
      </c>
      <c r="R320" s="17">
        <v>120000</v>
      </c>
      <c r="S320" s="17">
        <v>470000</v>
      </c>
      <c r="T320" s="166"/>
      <c r="V320" s="43"/>
    </row>
    <row r="321" spans="1:22" s="39" customFormat="1" outlineLevel="2" x14ac:dyDescent="0.25">
      <c r="A321" s="14">
        <v>3632</v>
      </c>
      <c r="B321" s="14">
        <v>2139</v>
      </c>
      <c r="C321" s="18">
        <v>2960</v>
      </c>
      <c r="D321" s="14">
        <v>39060</v>
      </c>
      <c r="E321" s="14">
        <v>0</v>
      </c>
      <c r="F321" s="14">
        <v>0</v>
      </c>
      <c r="G321" s="14">
        <v>0</v>
      </c>
      <c r="H321" s="14">
        <v>0</v>
      </c>
      <c r="I321" s="13">
        <v>0</v>
      </c>
      <c r="J321" s="14" t="str">
        <f t="shared" si="38"/>
        <v>3632/2139/2960/39060/0/0/0/0/0</v>
      </c>
      <c r="K321" s="21" t="s">
        <v>88</v>
      </c>
      <c r="L321" s="22">
        <v>133020</v>
      </c>
      <c r="M321" s="22">
        <v>184780</v>
      </c>
      <c r="N321" s="20">
        <v>180240</v>
      </c>
      <c r="O321" s="17">
        <v>211810</v>
      </c>
      <c r="P321" s="17">
        <v>154250</v>
      </c>
      <c r="Q321" s="17">
        <v>120000</v>
      </c>
      <c r="R321" s="17">
        <v>120000</v>
      </c>
      <c r="S321" s="17">
        <v>320000</v>
      </c>
      <c r="T321" s="166"/>
      <c r="V321" s="43"/>
    </row>
    <row r="322" spans="1:22" s="39" customFormat="1" outlineLevel="2" x14ac:dyDescent="0.25">
      <c r="A322" s="14">
        <v>3639</v>
      </c>
      <c r="B322" s="14">
        <v>2111</v>
      </c>
      <c r="C322" s="18">
        <v>2960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3">
        <v>0</v>
      </c>
      <c r="J322" s="14" t="str">
        <f t="shared" si="38"/>
        <v>3639/2111/2960/0/0/0/0/0/0</v>
      </c>
      <c r="K322" s="21" t="s">
        <v>93</v>
      </c>
      <c r="L322" s="22">
        <v>37950</v>
      </c>
      <c r="M322" s="22">
        <v>46025</v>
      </c>
      <c r="N322" s="20">
        <v>21250</v>
      </c>
      <c r="O322" s="17">
        <v>9949.5</v>
      </c>
      <c r="P322" s="17">
        <v>52507.94</v>
      </c>
      <c r="Q322" s="17">
        <v>20000</v>
      </c>
      <c r="R322" s="17">
        <v>20000</v>
      </c>
      <c r="S322" s="17">
        <v>40000</v>
      </c>
      <c r="T322" s="166"/>
      <c r="V322" s="43"/>
    </row>
    <row r="323" spans="1:22" s="39" customFormat="1" outlineLevel="2" x14ac:dyDescent="0.25">
      <c r="A323" s="14">
        <v>3639</v>
      </c>
      <c r="B323" s="14">
        <v>2111</v>
      </c>
      <c r="C323" s="18">
        <v>2960</v>
      </c>
      <c r="D323" s="14">
        <v>0</v>
      </c>
      <c r="E323" s="14">
        <v>0</v>
      </c>
      <c r="F323" s="14">
        <v>0</v>
      </c>
      <c r="G323" s="14">
        <v>0</v>
      </c>
      <c r="H323" s="14">
        <v>1</v>
      </c>
      <c r="I323" s="13">
        <v>0</v>
      </c>
      <c r="J323" s="14" t="str">
        <f t="shared" si="38"/>
        <v>3639/2111/2960/0/0/0/0/1/0</v>
      </c>
      <c r="K323" s="21" t="s">
        <v>856</v>
      </c>
      <c r="L323" s="22"/>
      <c r="M323" s="22"/>
      <c r="N323" s="20">
        <v>33051.19</v>
      </c>
      <c r="O323" s="17">
        <v>19918.61</v>
      </c>
      <c r="P323" s="17">
        <v>4900</v>
      </c>
      <c r="Q323" s="17"/>
      <c r="R323" s="17"/>
      <c r="S323" s="17">
        <v>500</v>
      </c>
      <c r="T323" s="166"/>
      <c r="V323" s="43"/>
    </row>
    <row r="324" spans="1:22" s="39" customFormat="1" outlineLevel="2" x14ac:dyDescent="0.25">
      <c r="A324" s="14">
        <v>3639</v>
      </c>
      <c r="B324" s="14">
        <v>2310</v>
      </c>
      <c r="C324" s="18">
        <v>2960</v>
      </c>
      <c r="D324" s="14">
        <v>0</v>
      </c>
      <c r="E324" s="14">
        <v>0</v>
      </c>
      <c r="F324" s="14">
        <v>0</v>
      </c>
      <c r="G324" s="14">
        <v>0</v>
      </c>
      <c r="H324" s="14">
        <v>1</v>
      </c>
      <c r="I324" s="13">
        <v>0</v>
      </c>
      <c r="J324" s="14" t="str">
        <f t="shared" si="38"/>
        <v>3639/2310/2960/0/0/0/0/1/0</v>
      </c>
      <c r="K324" s="21" t="s">
        <v>860</v>
      </c>
      <c r="L324" s="22"/>
      <c r="M324" s="22"/>
      <c r="N324" s="20">
        <v>30860</v>
      </c>
      <c r="O324" s="17">
        <v>0</v>
      </c>
      <c r="P324" s="17"/>
      <c r="Q324" s="17">
        <v>2000</v>
      </c>
      <c r="R324" s="17">
        <v>2000</v>
      </c>
      <c r="S324" s="17">
        <v>2000</v>
      </c>
      <c r="T324" s="254"/>
      <c r="V324" s="43"/>
    </row>
    <row r="325" spans="1:22" s="39" customFormat="1" outlineLevel="2" x14ac:dyDescent="0.25">
      <c r="A325" s="14">
        <v>3639</v>
      </c>
      <c r="B325" s="14">
        <v>2322</v>
      </c>
      <c r="C325" s="18">
        <v>2960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3">
        <v>0</v>
      </c>
      <c r="J325" s="14" t="str">
        <f t="shared" si="38"/>
        <v>3639/2322/2960/0/0/0/0/0/0</v>
      </c>
      <c r="K325" s="21" t="s">
        <v>862</v>
      </c>
      <c r="L325" s="22"/>
      <c r="M325" s="22"/>
      <c r="N325" s="20">
        <v>16307</v>
      </c>
      <c r="O325" s="17">
        <v>0</v>
      </c>
      <c r="P325" s="17">
        <v>48000</v>
      </c>
      <c r="Q325" s="17"/>
      <c r="R325" s="17"/>
      <c r="S325" s="17">
        <v>2000</v>
      </c>
      <c r="T325" s="57"/>
      <c r="V325" s="43"/>
    </row>
    <row r="326" spans="1:22" s="39" customFormat="1" outlineLevel="2" x14ac:dyDescent="0.25">
      <c r="A326" s="237">
        <v>3639</v>
      </c>
      <c r="B326" s="237">
        <v>2324</v>
      </c>
      <c r="C326" s="237">
        <v>2960</v>
      </c>
      <c r="D326" s="237">
        <v>0</v>
      </c>
      <c r="E326" s="237">
        <v>0</v>
      </c>
      <c r="F326" s="237">
        <v>0</v>
      </c>
      <c r="G326" s="237">
        <v>0</v>
      </c>
      <c r="H326" s="237">
        <v>0</v>
      </c>
      <c r="I326" s="237">
        <v>0</v>
      </c>
      <c r="J326" s="14" t="s">
        <v>4599</v>
      </c>
      <c r="K326" s="238" t="s">
        <v>4516</v>
      </c>
      <c r="L326" s="22"/>
      <c r="M326" s="22"/>
      <c r="N326" s="20"/>
      <c r="O326" s="17"/>
      <c r="P326" s="17">
        <v>2500</v>
      </c>
      <c r="Q326" s="17"/>
      <c r="R326" s="17"/>
      <c r="S326" s="17">
        <v>500</v>
      </c>
      <c r="T326" s="57"/>
      <c r="V326" s="43"/>
    </row>
    <row r="327" spans="1:22" s="39" customFormat="1" outlineLevel="2" x14ac:dyDescent="0.25">
      <c r="A327" s="14">
        <v>3722</v>
      </c>
      <c r="B327" s="14">
        <v>2322</v>
      </c>
      <c r="C327" s="18">
        <v>2960</v>
      </c>
      <c r="D327" s="14">
        <v>0</v>
      </c>
      <c r="E327" s="14">
        <v>0</v>
      </c>
      <c r="F327" s="14">
        <v>0</v>
      </c>
      <c r="G327" s="14">
        <v>0</v>
      </c>
      <c r="H327" s="14">
        <v>0</v>
      </c>
      <c r="I327" s="13">
        <v>0</v>
      </c>
      <c r="J327" s="14" t="str">
        <f t="shared" ref="J327:J333" si="39">CONCATENATE(A327,"/",B327,"/",C327,"/",D327,"/",E327,"/",F327,"/",G327,"/",H327,"/",I327)</f>
        <v>3722/2322/2960/0/0/0/0/0/0</v>
      </c>
      <c r="K327" s="21" t="s">
        <v>97</v>
      </c>
      <c r="L327" s="22">
        <v>0</v>
      </c>
      <c r="M327" s="22">
        <v>1599</v>
      </c>
      <c r="N327" s="20">
        <v>2465</v>
      </c>
      <c r="O327" s="17">
        <v>1766</v>
      </c>
      <c r="P327" s="17"/>
      <c r="Q327" s="17">
        <v>3000</v>
      </c>
      <c r="R327" s="17">
        <v>3000</v>
      </c>
      <c r="S327" s="17">
        <v>3000</v>
      </c>
      <c r="T327" s="57"/>
      <c r="V327" s="43"/>
    </row>
    <row r="328" spans="1:22" s="39" customFormat="1" outlineLevel="2" x14ac:dyDescent="0.25">
      <c r="A328" s="14">
        <v>3725</v>
      </c>
      <c r="B328" s="14">
        <v>2111</v>
      </c>
      <c r="C328" s="18">
        <v>2960</v>
      </c>
      <c r="D328" s="14">
        <v>30023</v>
      </c>
      <c r="E328" s="14">
        <v>0</v>
      </c>
      <c r="F328" s="14">
        <v>0</v>
      </c>
      <c r="G328" s="14">
        <v>0</v>
      </c>
      <c r="H328" s="14">
        <v>0</v>
      </c>
      <c r="I328" s="13">
        <v>0</v>
      </c>
      <c r="J328" s="14" t="str">
        <f t="shared" si="39"/>
        <v>3725/2111/2960/30023/0/0/0/0/0</v>
      </c>
      <c r="K328" s="21" t="s">
        <v>89</v>
      </c>
      <c r="L328" s="22">
        <v>23917</v>
      </c>
      <c r="M328" s="22">
        <v>28931</v>
      </c>
      <c r="N328" s="20">
        <f>30825+250</f>
        <v>31075</v>
      </c>
      <c r="O328" s="17">
        <f>38158+1100</f>
        <v>39258</v>
      </c>
      <c r="P328" s="17">
        <v>45807</v>
      </c>
      <c r="Q328" s="17">
        <v>45000</v>
      </c>
      <c r="R328" s="17">
        <v>45000</v>
      </c>
      <c r="S328" s="17">
        <v>48000</v>
      </c>
      <c r="T328" s="166"/>
      <c r="V328" s="43"/>
    </row>
    <row r="329" spans="1:22" s="39" customFormat="1" outlineLevel="2" x14ac:dyDescent="0.25">
      <c r="A329" s="14">
        <v>3725</v>
      </c>
      <c r="B329" s="14">
        <v>2324</v>
      </c>
      <c r="C329" s="18">
        <v>2960</v>
      </c>
      <c r="D329" s="14">
        <v>39502</v>
      </c>
      <c r="E329" s="14">
        <v>0</v>
      </c>
      <c r="F329" s="14">
        <v>0</v>
      </c>
      <c r="G329" s="14">
        <v>0</v>
      </c>
      <c r="H329" s="14">
        <v>0</v>
      </c>
      <c r="I329" s="13">
        <v>0</v>
      </c>
      <c r="J329" s="14" t="str">
        <f t="shared" si="39"/>
        <v>3725/2324/2960/39502/0/0/0/0/0</v>
      </c>
      <c r="K329" s="21" t="s">
        <v>82</v>
      </c>
      <c r="L329" s="22">
        <v>30171.5</v>
      </c>
      <c r="M329" s="22">
        <v>34014.1</v>
      </c>
      <c r="N329" s="20">
        <v>16935.099999999999</v>
      </c>
      <c r="O329" s="17">
        <v>6406</v>
      </c>
      <c r="P329" s="17">
        <v>29084.05</v>
      </c>
      <c r="Q329" s="17">
        <v>15000</v>
      </c>
      <c r="R329" s="17">
        <v>15000</v>
      </c>
      <c r="S329" s="17">
        <v>13000</v>
      </c>
      <c r="T329" s="57"/>
      <c r="V329" s="43"/>
    </row>
    <row r="330" spans="1:22" s="39" customFormat="1" outlineLevel="2" x14ac:dyDescent="0.25">
      <c r="A330" s="14">
        <v>3725</v>
      </c>
      <c r="B330" s="14">
        <v>2324</v>
      </c>
      <c r="C330" s="18">
        <v>2960</v>
      </c>
      <c r="D330" s="14">
        <v>39506</v>
      </c>
      <c r="E330" s="14">
        <v>0</v>
      </c>
      <c r="F330" s="14">
        <v>0</v>
      </c>
      <c r="G330" s="14">
        <v>0</v>
      </c>
      <c r="H330" s="14">
        <v>0</v>
      </c>
      <c r="I330" s="13">
        <v>0</v>
      </c>
      <c r="J330" s="14" t="str">
        <f t="shared" si="39"/>
        <v>3725/2324/2960/39506/0/0/0/0/0</v>
      </c>
      <c r="K330" s="21" t="s">
        <v>83</v>
      </c>
      <c r="L330" s="22"/>
      <c r="M330" s="22">
        <v>15185.5</v>
      </c>
      <c r="N330" s="20">
        <v>50614.3</v>
      </c>
      <c r="O330" s="17">
        <v>45557</v>
      </c>
      <c r="P330" s="17">
        <v>12100</v>
      </c>
      <c r="Q330" s="17">
        <v>15000</v>
      </c>
      <c r="R330" s="17">
        <v>15000</v>
      </c>
      <c r="S330" s="17">
        <v>20000</v>
      </c>
      <c r="T330" s="57"/>
      <c r="V330" s="43"/>
    </row>
    <row r="331" spans="1:22" s="39" customFormat="1" outlineLevel="2" x14ac:dyDescent="0.25">
      <c r="A331" s="14">
        <v>3725</v>
      </c>
      <c r="B331" s="14">
        <v>2324</v>
      </c>
      <c r="C331" s="18">
        <v>2960</v>
      </c>
      <c r="D331" s="14">
        <v>39501</v>
      </c>
      <c r="E331" s="14">
        <v>0</v>
      </c>
      <c r="F331" s="14">
        <v>0</v>
      </c>
      <c r="G331" s="14">
        <v>0</v>
      </c>
      <c r="H331" s="14">
        <v>0</v>
      </c>
      <c r="I331" s="13">
        <v>0</v>
      </c>
      <c r="J331" s="14" t="str">
        <f t="shared" si="39"/>
        <v>3725/2324/2960/39501/0/0/0/0/0</v>
      </c>
      <c r="K331" s="21" t="s">
        <v>84</v>
      </c>
      <c r="L331" s="22">
        <v>2574434.5</v>
      </c>
      <c r="M331" s="22">
        <v>2690690</v>
      </c>
      <c r="N331" s="20">
        <v>2896923</v>
      </c>
      <c r="O331" s="17">
        <v>3159630</v>
      </c>
      <c r="P331" s="17">
        <v>3679515.84</v>
      </c>
      <c r="Q331" s="17">
        <v>3000000</v>
      </c>
      <c r="R331" s="17">
        <v>3000000</v>
      </c>
      <c r="S331" s="17">
        <v>3300000</v>
      </c>
      <c r="T331" s="57"/>
      <c r="V331" s="43"/>
    </row>
    <row r="332" spans="1:22" s="39" customFormat="1" outlineLevel="2" x14ac:dyDescent="0.25">
      <c r="A332" s="14">
        <v>3725</v>
      </c>
      <c r="B332" s="14">
        <v>2324</v>
      </c>
      <c r="C332" s="18">
        <v>2960</v>
      </c>
      <c r="D332" s="14">
        <v>39504</v>
      </c>
      <c r="E332" s="14">
        <v>0</v>
      </c>
      <c r="F332" s="14">
        <v>0</v>
      </c>
      <c r="G332" s="14">
        <v>0</v>
      </c>
      <c r="H332" s="14">
        <v>0</v>
      </c>
      <c r="I332" s="13">
        <v>0</v>
      </c>
      <c r="J332" s="14" t="str">
        <f t="shared" si="39"/>
        <v>3725/2324/2960/39504/0/0/0/0/0</v>
      </c>
      <c r="K332" s="21" t="s">
        <v>85</v>
      </c>
      <c r="L332" s="22">
        <v>79099</v>
      </c>
      <c r="M332" s="22">
        <v>118936.5</v>
      </c>
      <c r="N332" s="20">
        <v>123266.85</v>
      </c>
      <c r="O332" s="17">
        <v>129704.5</v>
      </c>
      <c r="P332" s="17">
        <v>192225.29</v>
      </c>
      <c r="Q332" s="17">
        <v>140000</v>
      </c>
      <c r="R332" s="17">
        <v>140000</v>
      </c>
      <c r="S332" s="17">
        <v>120000</v>
      </c>
      <c r="T332" s="57"/>
      <c r="V332" s="43"/>
    </row>
    <row r="333" spans="1:22" s="39" customFormat="1" outlineLevel="2" x14ac:dyDescent="0.25">
      <c r="A333" s="14">
        <v>3745</v>
      </c>
      <c r="B333" s="14">
        <v>2329</v>
      </c>
      <c r="C333" s="18">
        <v>2960</v>
      </c>
      <c r="D333" s="14">
        <v>20628</v>
      </c>
      <c r="E333" s="14">
        <v>0</v>
      </c>
      <c r="F333" s="14">
        <v>0</v>
      </c>
      <c r="G333" s="14">
        <v>0</v>
      </c>
      <c r="H333" s="14">
        <v>0</v>
      </c>
      <c r="I333" s="13">
        <v>0</v>
      </c>
      <c r="J333" s="14" t="str">
        <f t="shared" si="39"/>
        <v>3745/2329/2960/20628/0/0/0/0/0</v>
      </c>
      <c r="K333" s="21" t="s">
        <v>2700</v>
      </c>
      <c r="L333" s="22"/>
      <c r="M333" s="22"/>
      <c r="N333" s="20"/>
      <c r="O333" s="17">
        <v>50000</v>
      </c>
      <c r="P333" s="17"/>
      <c r="Q333" s="17"/>
      <c r="R333" s="17"/>
      <c r="S333" s="17"/>
      <c r="T333" s="57"/>
      <c r="V333" s="43"/>
    </row>
    <row r="334" spans="1:22" s="39" customFormat="1" outlineLevel="1" x14ac:dyDescent="0.25">
      <c r="A334" s="409"/>
      <c r="B334" s="409"/>
      <c r="C334" s="418" t="s">
        <v>4681</v>
      </c>
      <c r="D334" s="409"/>
      <c r="E334" s="409"/>
      <c r="F334" s="409"/>
      <c r="G334" s="409"/>
      <c r="H334" s="409"/>
      <c r="I334" s="409"/>
      <c r="J334" s="14"/>
      <c r="K334" s="411"/>
      <c r="L334" s="412">
        <f t="shared" ref="L334:S334" si="40">SUBTOTAL(9,L301:L333)</f>
        <v>7293209.4700000007</v>
      </c>
      <c r="M334" s="412">
        <f t="shared" si="40"/>
        <v>7657617.0299999993</v>
      </c>
      <c r="N334" s="413">
        <f t="shared" si="40"/>
        <v>7048998.0299999993</v>
      </c>
      <c r="O334" s="414">
        <f t="shared" si="40"/>
        <v>7081748.7799999993</v>
      </c>
      <c r="P334" s="414">
        <f t="shared" si="40"/>
        <v>8984338.6999999993</v>
      </c>
      <c r="Q334" s="414">
        <f t="shared" si="40"/>
        <v>6157950</v>
      </c>
      <c r="R334" s="414">
        <f t="shared" si="40"/>
        <v>6157950</v>
      </c>
      <c r="S334" s="414">
        <f t="shared" si="40"/>
        <v>6991500</v>
      </c>
      <c r="T334" s="415"/>
      <c r="V334" s="43"/>
    </row>
    <row r="335" spans="1:22" s="39" customFormat="1" outlineLevel="2" x14ac:dyDescent="0.25">
      <c r="A335" s="14">
        <v>0</v>
      </c>
      <c r="B335" s="14">
        <v>1361</v>
      </c>
      <c r="C335" s="18">
        <v>2997</v>
      </c>
      <c r="D335" s="14">
        <v>31036</v>
      </c>
      <c r="E335" s="14">
        <v>0</v>
      </c>
      <c r="F335" s="14">
        <v>0</v>
      </c>
      <c r="G335" s="14">
        <v>0</v>
      </c>
      <c r="H335" s="14">
        <v>0</v>
      </c>
      <c r="I335" s="13">
        <v>0</v>
      </c>
      <c r="J335" s="14" t="str">
        <f>CONCATENATE(A335,"/",B335,"/",C335,"/",D335,"/",E335,"/",F335,"/",G335,"/",H335,"/",I335)</f>
        <v>0/1361/2997/31036/0/0/0/0/0</v>
      </c>
      <c r="K335" s="21" t="s">
        <v>164</v>
      </c>
      <c r="L335" s="22">
        <v>3800</v>
      </c>
      <c r="M335" s="22">
        <v>1400</v>
      </c>
      <c r="N335" s="20">
        <v>2600</v>
      </c>
      <c r="O335" s="17">
        <v>3950</v>
      </c>
      <c r="P335" s="17">
        <v>1100</v>
      </c>
      <c r="Q335" s="17">
        <v>1000</v>
      </c>
      <c r="R335" s="17">
        <v>1000</v>
      </c>
      <c r="S335" s="17">
        <v>1000</v>
      </c>
      <c r="T335" s="57"/>
      <c r="V335" s="43"/>
    </row>
    <row r="336" spans="1:22" s="39" customFormat="1" outlineLevel="2" x14ac:dyDescent="0.25">
      <c r="A336" s="14">
        <v>3613</v>
      </c>
      <c r="B336" s="14">
        <v>3112</v>
      </c>
      <c r="C336" s="18">
        <v>2997</v>
      </c>
      <c r="D336" s="14">
        <v>30077</v>
      </c>
      <c r="E336" s="14">
        <v>0</v>
      </c>
      <c r="F336" s="14">
        <v>0</v>
      </c>
      <c r="G336" s="14">
        <v>0</v>
      </c>
      <c r="H336" s="14">
        <v>0</v>
      </c>
      <c r="I336" s="13">
        <v>0</v>
      </c>
      <c r="J336" s="14" t="str">
        <f>CONCATENATE(A336,"/",B336,"/",C336,"/",D336,"/",E336,"/",F336,"/",G336,"/",H336,"/",I336)</f>
        <v>3613/3112/2997/30077/0/0/0/0/0</v>
      </c>
      <c r="K336" s="21" t="s">
        <v>3798</v>
      </c>
      <c r="L336" s="22">
        <v>5000000</v>
      </c>
      <c r="M336" s="22"/>
      <c r="N336" s="20">
        <v>303030.3</v>
      </c>
      <c r="O336" s="17">
        <f>2727272.7+1000+91960</f>
        <v>2820232.7</v>
      </c>
      <c r="P336" s="17">
        <v>5800000</v>
      </c>
      <c r="Q336" s="17">
        <v>0</v>
      </c>
      <c r="R336" s="17"/>
      <c r="S336" s="17"/>
      <c r="T336" s="57"/>
      <c r="V336" s="43"/>
    </row>
    <row r="337" spans="1:22" s="39" customFormat="1" ht="30" outlineLevel="2" x14ac:dyDescent="0.25">
      <c r="A337" s="237">
        <v>3633</v>
      </c>
      <c r="B337" s="237">
        <v>3112</v>
      </c>
      <c r="C337" s="237">
        <v>2997</v>
      </c>
      <c r="D337" s="237">
        <v>0</v>
      </c>
      <c r="E337" s="237">
        <v>0</v>
      </c>
      <c r="F337" s="237">
        <v>0</v>
      </c>
      <c r="G337" s="237">
        <v>0</v>
      </c>
      <c r="H337" s="237">
        <v>0</v>
      </c>
      <c r="I337" s="237">
        <v>0</v>
      </c>
      <c r="J337" s="14" t="s">
        <v>4601</v>
      </c>
      <c r="K337" s="238" t="s">
        <v>4520</v>
      </c>
      <c r="L337" s="22"/>
      <c r="M337" s="22"/>
      <c r="N337" s="20"/>
      <c r="O337" s="17"/>
      <c r="P337" s="17">
        <v>48400</v>
      </c>
      <c r="Q337" s="17"/>
      <c r="R337" s="17"/>
      <c r="S337" s="17"/>
      <c r="T337" s="57"/>
      <c r="V337" s="43"/>
    </row>
    <row r="338" spans="1:22" s="39" customFormat="1" outlineLevel="2" x14ac:dyDescent="0.25">
      <c r="A338" s="14">
        <v>3639</v>
      </c>
      <c r="B338" s="14">
        <v>2119</v>
      </c>
      <c r="C338" s="18">
        <v>2997</v>
      </c>
      <c r="D338" s="14">
        <v>31042</v>
      </c>
      <c r="E338" s="14">
        <v>0</v>
      </c>
      <c r="F338" s="14">
        <v>0</v>
      </c>
      <c r="G338" s="14">
        <v>0</v>
      </c>
      <c r="H338" s="14">
        <v>0</v>
      </c>
      <c r="I338" s="13">
        <v>0</v>
      </c>
      <c r="J338" s="14" t="str">
        <f>CONCATENATE(A338,"/",B338,"/",C338,"/",D338,"/",E338,"/",F338,"/",G338,"/",H338,"/",I338)</f>
        <v>3639/2119/2997/31042/0/0/0/0/0</v>
      </c>
      <c r="K338" s="21" t="s">
        <v>165</v>
      </c>
      <c r="L338" s="22">
        <v>823273.3</v>
      </c>
      <c r="M338" s="22">
        <v>546398.49</v>
      </c>
      <c r="N338" s="20">
        <v>283970.53999999998</v>
      </c>
      <c r="O338" s="17">
        <f>776797.39+3630</f>
        <v>780427.39</v>
      </c>
      <c r="P338" s="17">
        <v>2512711.7999999998</v>
      </c>
      <c r="Q338" s="17">
        <v>300000</v>
      </c>
      <c r="R338" s="17">
        <v>300000</v>
      </c>
      <c r="S338" s="17">
        <v>600000</v>
      </c>
      <c r="T338" s="166"/>
      <c r="V338" s="43"/>
    </row>
    <row r="339" spans="1:22" s="39" customFormat="1" outlineLevel="2" x14ac:dyDescent="0.25">
      <c r="A339" s="14">
        <v>3639</v>
      </c>
      <c r="B339" s="14">
        <v>2324</v>
      </c>
      <c r="C339" s="18">
        <v>2997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3">
        <v>0</v>
      </c>
      <c r="J339" s="14" t="str">
        <f>CONCATENATE(A339,"/",B339,"/",C339,"/",D339,"/",E339,"/",F339,"/",G339,"/",H339,"/",I339)</f>
        <v>3639/2324/2997/0/0/0/0/0/0</v>
      </c>
      <c r="K339" s="21" t="s">
        <v>4350</v>
      </c>
      <c r="L339" s="22"/>
      <c r="M339" s="22"/>
      <c r="N339" s="20"/>
      <c r="O339" s="17">
        <v>50000</v>
      </c>
      <c r="P339" s="17">
        <v>12612.56</v>
      </c>
      <c r="Q339" s="17"/>
      <c r="R339" s="17"/>
      <c r="S339" s="17"/>
      <c r="T339" s="190"/>
      <c r="V339" s="43"/>
    </row>
    <row r="340" spans="1:22" s="39" customFormat="1" outlineLevel="2" x14ac:dyDescent="0.25">
      <c r="A340" s="14">
        <v>3639</v>
      </c>
      <c r="B340" s="14">
        <v>3111</v>
      </c>
      <c r="C340" s="18">
        <v>2997</v>
      </c>
      <c r="D340" s="14">
        <v>30038</v>
      </c>
      <c r="E340" s="14">
        <v>0</v>
      </c>
      <c r="F340" s="14">
        <v>0</v>
      </c>
      <c r="G340" s="14">
        <v>0</v>
      </c>
      <c r="H340" s="14">
        <v>0</v>
      </c>
      <c r="I340" s="13">
        <v>0</v>
      </c>
      <c r="J340" s="14" t="str">
        <f>CONCATENATE(A340,"/",B340,"/",C340,"/",D340,"/",E340,"/",F340,"/",G340,"/",H340,"/",I340)</f>
        <v>3639/3111/2997/30038/0/0/0/0/0</v>
      </c>
      <c r="K340" s="21" t="s">
        <v>2810</v>
      </c>
      <c r="L340" s="22">
        <v>384109.25</v>
      </c>
      <c r="M340" s="22">
        <v>903908.5</v>
      </c>
      <c r="N340" s="20">
        <v>800921</v>
      </c>
      <c r="O340" s="17">
        <v>3766053.5</v>
      </c>
      <c r="P340" s="17">
        <v>7880965.5999999996</v>
      </c>
      <c r="Q340" s="17">
        <v>1000000</v>
      </c>
      <c r="R340" s="17">
        <v>14326860</v>
      </c>
      <c r="S340" s="17">
        <v>1000000</v>
      </c>
      <c r="T340" s="57"/>
      <c r="V340" s="43"/>
    </row>
    <row r="341" spans="1:22" s="39" customFormat="1" outlineLevel="1" x14ac:dyDescent="0.25">
      <c r="A341" s="409"/>
      <c r="B341" s="409"/>
      <c r="C341" s="418" t="s">
        <v>4682</v>
      </c>
      <c r="D341" s="409"/>
      <c r="E341" s="409"/>
      <c r="F341" s="409"/>
      <c r="G341" s="409"/>
      <c r="H341" s="409"/>
      <c r="I341" s="409"/>
      <c r="J341" s="14"/>
      <c r="K341" s="411"/>
      <c r="L341" s="412">
        <f t="shared" ref="L341:S341" si="41">SUBTOTAL(9,L335:L340)</f>
        <v>6211182.5499999998</v>
      </c>
      <c r="M341" s="412">
        <f t="shared" si="41"/>
        <v>1451706.99</v>
      </c>
      <c r="N341" s="413">
        <f t="shared" si="41"/>
        <v>1390521.8399999999</v>
      </c>
      <c r="O341" s="414">
        <f t="shared" si="41"/>
        <v>7420663.5899999999</v>
      </c>
      <c r="P341" s="414">
        <f t="shared" si="41"/>
        <v>16255789.959999999</v>
      </c>
      <c r="Q341" s="414">
        <f t="shared" si="41"/>
        <v>1301000</v>
      </c>
      <c r="R341" s="414">
        <f t="shared" si="41"/>
        <v>14627860</v>
      </c>
      <c r="S341" s="414">
        <f t="shared" si="41"/>
        <v>1601000</v>
      </c>
      <c r="T341" s="415"/>
      <c r="V341" s="43"/>
    </row>
    <row r="342" spans="1:22" s="39" customFormat="1" ht="25.5" outlineLevel="2" x14ac:dyDescent="0.25">
      <c r="A342" s="281">
        <v>3612</v>
      </c>
      <c r="B342" s="281">
        <v>2141</v>
      </c>
      <c r="C342" s="67">
        <v>2998</v>
      </c>
      <c r="D342" s="281">
        <v>0</v>
      </c>
      <c r="E342" s="281">
        <v>0</v>
      </c>
      <c r="F342" s="281">
        <v>0</v>
      </c>
      <c r="G342" s="281">
        <v>0</v>
      </c>
      <c r="H342" s="281">
        <v>0</v>
      </c>
      <c r="I342" s="13">
        <v>0</v>
      </c>
      <c r="J342" s="14" t="str">
        <f>CONCATENATE(A342,"/",B342,"/",C342,"/",D342,"/",E342,"/",F342,"/",G342,"/",H342,"/",I342)</f>
        <v>3612/2141/2998/0/0/0/0/0/0</v>
      </c>
      <c r="K342" s="282" t="s">
        <v>4442</v>
      </c>
      <c r="L342" s="280"/>
      <c r="M342" s="280"/>
      <c r="N342" s="283"/>
      <c r="O342" s="68">
        <v>0</v>
      </c>
      <c r="P342" s="68"/>
      <c r="Q342" s="68"/>
      <c r="R342" s="68"/>
      <c r="S342" s="68"/>
      <c r="T342" s="166"/>
      <c r="V342" s="43"/>
    </row>
    <row r="343" spans="1:22" s="39" customFormat="1" outlineLevel="1" x14ac:dyDescent="0.25">
      <c r="A343" s="409"/>
      <c r="B343" s="409"/>
      <c r="C343" s="418" t="s">
        <v>4683</v>
      </c>
      <c r="D343" s="409"/>
      <c r="E343" s="409"/>
      <c r="F343" s="409"/>
      <c r="G343" s="409"/>
      <c r="H343" s="409"/>
      <c r="I343" s="409"/>
      <c r="J343" s="14"/>
      <c r="K343" s="427"/>
      <c r="L343" s="412">
        <f t="shared" ref="L343:S343" si="42">SUBTOTAL(9,L342:L342)</f>
        <v>0</v>
      </c>
      <c r="M343" s="412">
        <f t="shared" si="42"/>
        <v>0</v>
      </c>
      <c r="N343" s="413">
        <f t="shared" si="42"/>
        <v>0</v>
      </c>
      <c r="O343" s="414">
        <f t="shared" si="42"/>
        <v>0</v>
      </c>
      <c r="P343" s="414">
        <f t="shared" si="42"/>
        <v>0</v>
      </c>
      <c r="Q343" s="414">
        <f t="shared" si="42"/>
        <v>0</v>
      </c>
      <c r="R343" s="414">
        <f t="shared" si="42"/>
        <v>0</v>
      </c>
      <c r="S343" s="414">
        <f t="shared" si="42"/>
        <v>0</v>
      </c>
      <c r="T343" s="423"/>
      <c r="V343" s="43"/>
    </row>
    <row r="344" spans="1:22" s="39" customFormat="1" outlineLevel="2" x14ac:dyDescent="0.25">
      <c r="A344" s="237">
        <v>3634</v>
      </c>
      <c r="B344" s="237">
        <v>2111</v>
      </c>
      <c r="C344" s="237">
        <v>2999</v>
      </c>
      <c r="D344" s="237">
        <v>30021</v>
      </c>
      <c r="E344" s="237">
        <v>0</v>
      </c>
      <c r="F344" s="237">
        <v>0</v>
      </c>
      <c r="G344" s="237">
        <v>0</v>
      </c>
      <c r="H344" s="237">
        <v>7</v>
      </c>
      <c r="I344" s="237">
        <v>0</v>
      </c>
      <c r="J344" s="14" t="s">
        <v>4549</v>
      </c>
      <c r="K344" s="238" t="s">
        <v>4611</v>
      </c>
      <c r="L344" s="22"/>
      <c r="M344" s="22"/>
      <c r="N344" s="20"/>
      <c r="O344" s="17"/>
      <c r="P344" s="17">
        <v>3200</v>
      </c>
      <c r="Q344" s="17"/>
      <c r="R344" s="17"/>
      <c r="S344" s="17"/>
      <c r="T344" s="166"/>
      <c r="V344" s="43"/>
    </row>
    <row r="345" spans="1:22" s="39" customFormat="1" outlineLevel="2" x14ac:dyDescent="0.25">
      <c r="A345" s="14">
        <v>3634</v>
      </c>
      <c r="B345" s="14">
        <v>2132</v>
      </c>
      <c r="C345" s="18">
        <v>2999</v>
      </c>
      <c r="D345" s="14">
        <v>30036</v>
      </c>
      <c r="E345" s="14">
        <v>0</v>
      </c>
      <c r="F345" s="14">
        <v>0</v>
      </c>
      <c r="G345" s="14">
        <v>0</v>
      </c>
      <c r="H345" s="14">
        <v>0</v>
      </c>
      <c r="I345" s="13">
        <v>0</v>
      </c>
      <c r="J345" s="14" t="str">
        <f>CONCATENATE(A345,"/",B345,"/",C345,"/",D345,"/",E345,"/",F345,"/",G345,"/",H345,"/",I345)</f>
        <v>3634/2132/2999/30036/0/0/0/0/0</v>
      </c>
      <c r="K345" s="21" t="s">
        <v>4440</v>
      </c>
      <c r="L345" s="22">
        <v>6534000</v>
      </c>
      <c r="M345" s="22">
        <v>6534000</v>
      </c>
      <c r="N345" s="20">
        <v>6534000</v>
      </c>
      <c r="O345" s="17">
        <v>5989500</v>
      </c>
      <c r="P345" s="17">
        <v>6534000</v>
      </c>
      <c r="Q345" s="17">
        <v>6534000</v>
      </c>
      <c r="R345" s="17">
        <v>6534000</v>
      </c>
      <c r="S345" s="17">
        <v>7381000</v>
      </c>
      <c r="T345" s="166" t="s">
        <v>4651</v>
      </c>
      <c r="V345" s="43"/>
    </row>
    <row r="346" spans="1:22" s="39" customFormat="1" outlineLevel="2" x14ac:dyDescent="0.25">
      <c r="A346" s="14">
        <v>3634</v>
      </c>
      <c r="B346" s="14">
        <v>2141</v>
      </c>
      <c r="C346" s="18">
        <v>2999</v>
      </c>
      <c r="D346" s="14">
        <v>0</v>
      </c>
      <c r="E346" s="14">
        <v>0</v>
      </c>
      <c r="F346" s="14">
        <v>0</v>
      </c>
      <c r="G346" s="14">
        <v>0</v>
      </c>
      <c r="H346" s="14">
        <v>0</v>
      </c>
      <c r="I346" s="13">
        <v>0</v>
      </c>
      <c r="J346" s="14" t="str">
        <f>CONCATENATE(A346,"/",B346,"/",C346,"/",D346,"/",E346,"/",F346,"/",G346,"/",H346,"/",I346)</f>
        <v>3634/2141/2999/0/0/0/0/0/0</v>
      </c>
      <c r="K346" s="21" t="s">
        <v>4609</v>
      </c>
      <c r="L346" s="22"/>
      <c r="M346" s="22"/>
      <c r="N346" s="20"/>
      <c r="O346" s="17">
        <v>732.8</v>
      </c>
      <c r="P346" s="17">
        <f>337.26+416176.65</f>
        <v>416513.91000000003</v>
      </c>
      <c r="Q346" s="17">
        <v>10000</v>
      </c>
      <c r="R346" s="17">
        <v>10000</v>
      </c>
      <c r="S346" s="17">
        <v>10000</v>
      </c>
      <c r="T346" s="166"/>
      <c r="V346" s="43"/>
    </row>
    <row r="347" spans="1:22" s="39" customFormat="1" outlineLevel="2" x14ac:dyDescent="0.25">
      <c r="A347" s="237">
        <v>3634</v>
      </c>
      <c r="B347" s="237">
        <v>2142</v>
      </c>
      <c r="C347" s="237">
        <v>2999</v>
      </c>
      <c r="D347" s="237">
        <v>53320</v>
      </c>
      <c r="E347" s="237">
        <v>0</v>
      </c>
      <c r="F347" s="237">
        <v>0</v>
      </c>
      <c r="G347" s="237">
        <v>0</v>
      </c>
      <c r="H347" s="237">
        <v>0</v>
      </c>
      <c r="I347" s="237">
        <v>0</v>
      </c>
      <c r="J347" s="14" t="s">
        <v>4572</v>
      </c>
      <c r="K347" s="238" t="s">
        <v>4610</v>
      </c>
      <c r="L347" s="22"/>
      <c r="M347" s="22"/>
      <c r="N347" s="20"/>
      <c r="O347" s="17"/>
      <c r="P347" s="17">
        <v>5000000</v>
      </c>
      <c r="Q347" s="17"/>
      <c r="R347" s="17"/>
      <c r="S347" s="17"/>
      <c r="T347" s="166" t="s">
        <v>4650</v>
      </c>
      <c r="V347" s="43"/>
    </row>
    <row r="348" spans="1:22" s="39" customFormat="1" outlineLevel="1" x14ac:dyDescent="0.25">
      <c r="A348" s="429"/>
      <c r="B348" s="429"/>
      <c r="C348" s="431" t="s">
        <v>4684</v>
      </c>
      <c r="D348" s="429"/>
      <c r="E348" s="429"/>
      <c r="F348" s="429"/>
      <c r="G348" s="429"/>
      <c r="H348" s="429"/>
      <c r="I348" s="429"/>
      <c r="J348" s="281"/>
      <c r="K348" s="430"/>
      <c r="L348" s="280">
        <f t="shared" ref="L348:S348" si="43">SUBTOTAL(9,L344:L347)</f>
        <v>6534000</v>
      </c>
      <c r="M348" s="280">
        <f t="shared" si="43"/>
        <v>6534000</v>
      </c>
      <c r="N348" s="283">
        <f t="shared" si="43"/>
        <v>6534000</v>
      </c>
      <c r="O348" s="68">
        <f t="shared" si="43"/>
        <v>5990232.7999999998</v>
      </c>
      <c r="P348" s="68">
        <f t="shared" si="43"/>
        <v>11953713.91</v>
      </c>
      <c r="Q348" s="68">
        <f t="shared" si="43"/>
        <v>6544000</v>
      </c>
      <c r="R348" s="68">
        <f t="shared" si="43"/>
        <v>6544000</v>
      </c>
      <c r="S348" s="68">
        <f t="shared" si="43"/>
        <v>7391000</v>
      </c>
      <c r="T348" s="428"/>
      <c r="V348" s="43"/>
    </row>
    <row r="349" spans="1:22" s="39" customFormat="1" x14ac:dyDescent="0.25">
      <c r="A349" s="237"/>
      <c r="B349" s="237"/>
      <c r="C349" s="407" t="s">
        <v>4685</v>
      </c>
      <c r="D349" s="237"/>
      <c r="E349" s="237"/>
      <c r="F349" s="237"/>
      <c r="G349" s="237"/>
      <c r="H349" s="237"/>
      <c r="I349" s="237"/>
      <c r="J349" s="14"/>
      <c r="K349" s="238"/>
      <c r="L349" s="22">
        <f t="shared" ref="L349:S349" si="44">SUBTOTAL(9,L3:L347)</f>
        <v>439496694.53000003</v>
      </c>
      <c r="M349" s="22">
        <f t="shared" si="44"/>
        <v>463171260.83999997</v>
      </c>
      <c r="N349" s="20">
        <f t="shared" si="44"/>
        <v>443774973.52000016</v>
      </c>
      <c r="O349" s="17">
        <f t="shared" si="44"/>
        <v>495787207.46999997</v>
      </c>
      <c r="P349" s="17">
        <f t="shared" si="44"/>
        <v>637743166.64999974</v>
      </c>
      <c r="Q349" s="17">
        <f t="shared" si="44"/>
        <v>538786170</v>
      </c>
      <c r="R349" s="17">
        <f t="shared" si="44"/>
        <v>561261601.19999993</v>
      </c>
      <c r="S349" s="17">
        <f t="shared" si="44"/>
        <v>591612600</v>
      </c>
      <c r="T349" s="166"/>
      <c r="V349" s="43"/>
    </row>
    <row r="350" spans="1:22" s="39" customFormat="1" ht="17.25" customHeight="1" x14ac:dyDescent="0.25">
      <c r="A350" s="284"/>
      <c r="B350" s="285"/>
      <c r="C350" s="285"/>
      <c r="D350" s="285"/>
      <c r="E350" s="285"/>
      <c r="F350" s="285"/>
      <c r="G350" s="285"/>
      <c r="H350" s="285"/>
      <c r="I350" s="285"/>
      <c r="J350" s="285"/>
      <c r="K350" s="286"/>
      <c r="L350" s="287">
        <f>L349-L351</f>
        <v>0</v>
      </c>
      <c r="M350" s="287">
        <f t="shared" ref="M350:Q350" si="45">M349-M351</f>
        <v>0</v>
      </c>
      <c r="N350" s="287">
        <f t="shared" si="45"/>
        <v>0</v>
      </c>
      <c r="O350" s="287">
        <f t="shared" si="45"/>
        <v>0</v>
      </c>
      <c r="P350" s="287">
        <f t="shared" si="45"/>
        <v>0</v>
      </c>
      <c r="Q350" s="287">
        <f t="shared" si="45"/>
        <v>0</v>
      </c>
      <c r="R350" s="287">
        <f>R349-R351</f>
        <v>0</v>
      </c>
      <c r="S350" s="287">
        <f>S349-S351</f>
        <v>5420004</v>
      </c>
      <c r="T350" s="288"/>
      <c r="V350" s="43"/>
    </row>
    <row r="351" spans="1:22" s="61" customFormat="1" ht="15" customHeight="1" x14ac:dyDescent="0.25">
      <c r="A351" s="25"/>
      <c r="B351" s="231"/>
      <c r="C351" s="231"/>
      <c r="D351" s="231"/>
      <c r="E351" s="231"/>
      <c r="F351" s="231"/>
      <c r="G351" s="231"/>
      <c r="H351" s="231"/>
      <c r="I351" s="231"/>
      <c r="J351" s="232"/>
      <c r="K351" s="233" t="s">
        <v>4457</v>
      </c>
      <c r="L351" s="234">
        <v>439496694.53000003</v>
      </c>
      <c r="M351" s="234">
        <v>463171260.83999997</v>
      </c>
      <c r="N351" s="234">
        <v>443774973.52000004</v>
      </c>
      <c r="O351" s="234">
        <v>495787207.47000003</v>
      </c>
      <c r="P351" s="234">
        <f>815930902.81-P365-P360</f>
        <v>637743166.64999998</v>
      </c>
      <c r="Q351" s="234">
        <v>538786170</v>
      </c>
      <c r="R351" s="234">
        <v>561261601.20000005</v>
      </c>
      <c r="S351" s="234">
        <v>586192596</v>
      </c>
      <c r="T351" s="271"/>
      <c r="V351" s="559"/>
    </row>
    <row r="352" spans="1:22" s="61" customFormat="1" ht="15" customHeight="1" x14ac:dyDescent="0.25">
      <c r="A352" s="25"/>
      <c r="B352" s="231"/>
      <c r="C352" s="231"/>
      <c r="D352" s="231"/>
      <c r="E352" s="231"/>
      <c r="F352" s="231"/>
      <c r="G352" s="231"/>
      <c r="H352" s="231"/>
      <c r="I352" s="231"/>
      <c r="J352" s="232"/>
      <c r="K352" s="233"/>
      <c r="L352" s="234"/>
      <c r="M352" s="234"/>
      <c r="N352" s="234"/>
      <c r="O352" s="234"/>
      <c r="P352" s="234"/>
      <c r="Q352" s="234"/>
      <c r="R352" s="234"/>
      <c r="S352" s="234"/>
      <c r="T352" s="404"/>
      <c r="V352" s="559"/>
    </row>
    <row r="353" spans="1:22" ht="30" customHeight="1" x14ac:dyDescent="0.25">
      <c r="A353" s="26"/>
      <c r="B353" s="27"/>
      <c r="C353" s="27"/>
      <c r="D353" s="27"/>
      <c r="E353" s="27"/>
      <c r="F353" s="27"/>
      <c r="G353" s="27"/>
      <c r="H353" s="27"/>
      <c r="I353" s="27"/>
      <c r="J353" s="28"/>
      <c r="K353" s="27" t="s">
        <v>166</v>
      </c>
      <c r="L353" s="29"/>
      <c r="M353" s="29"/>
      <c r="N353" s="29"/>
      <c r="O353" s="169"/>
      <c r="P353" s="169"/>
      <c r="Q353" s="169"/>
      <c r="R353" s="169"/>
      <c r="S353" s="169"/>
      <c r="T353" s="167"/>
    </row>
    <row r="354" spans="1:22" s="182" customFormat="1" ht="36.75" customHeight="1" x14ac:dyDescent="0.25">
      <c r="A354" s="186">
        <v>0</v>
      </c>
      <c r="B354" s="186">
        <v>4112</v>
      </c>
      <c r="C354" s="186">
        <v>2059</v>
      </c>
      <c r="D354" s="186">
        <v>0</v>
      </c>
      <c r="E354" s="186">
        <v>0</v>
      </c>
      <c r="F354" s="186">
        <v>0</v>
      </c>
      <c r="G354" s="186">
        <v>0</v>
      </c>
      <c r="H354" s="186">
        <v>0</v>
      </c>
      <c r="I354" s="186">
        <v>0</v>
      </c>
      <c r="J354" s="19"/>
      <c r="K354" s="257" t="s">
        <v>167</v>
      </c>
      <c r="L354" s="258">
        <v>32822100</v>
      </c>
      <c r="M354" s="258">
        <v>37216900</v>
      </c>
      <c r="N354" s="258">
        <v>39636100</v>
      </c>
      <c r="O354" s="258">
        <v>41591400</v>
      </c>
      <c r="P354" s="317">
        <v>39015900</v>
      </c>
      <c r="Q354" s="165">
        <f>40997900-1952000+2375600</f>
        <v>41421500</v>
      </c>
      <c r="R354" s="165">
        <f>43902100-2196000</f>
        <v>41706100</v>
      </c>
      <c r="S354" s="165">
        <v>40871900</v>
      </c>
      <c r="T354" s="315" t="s">
        <v>4893</v>
      </c>
      <c r="V354" s="556"/>
    </row>
    <row r="355" spans="1:22" s="182" customFormat="1" ht="36.75" customHeight="1" x14ac:dyDescent="0.25">
      <c r="A355" s="186">
        <v>0</v>
      </c>
      <c r="B355" s="186">
        <v>4112</v>
      </c>
      <c r="C355" s="186">
        <v>2059</v>
      </c>
      <c r="D355" s="186">
        <v>0</v>
      </c>
      <c r="E355" s="186">
        <v>0</v>
      </c>
      <c r="F355" s="186">
        <v>0</v>
      </c>
      <c r="G355" s="186">
        <v>0</v>
      </c>
      <c r="H355" s="186">
        <v>0</v>
      </c>
      <c r="I355" s="186">
        <v>0</v>
      </c>
      <c r="J355" s="19"/>
      <c r="K355" s="257" t="s">
        <v>4428</v>
      </c>
      <c r="L355" s="258"/>
      <c r="M355" s="258"/>
      <c r="N355" s="258"/>
      <c r="O355" s="258"/>
      <c r="P355" s="317">
        <v>1982000</v>
      </c>
      <c r="Q355" s="165">
        <f>1952000+244000</f>
        <v>2196000</v>
      </c>
      <c r="R355" s="165">
        <v>2196000</v>
      </c>
      <c r="S355" s="258">
        <v>2196000</v>
      </c>
      <c r="T355" s="315" t="s">
        <v>4643</v>
      </c>
      <c r="V355" s="556"/>
    </row>
    <row r="356" spans="1:22" s="182" customFormat="1" ht="36.75" customHeight="1" x14ac:dyDescent="0.25">
      <c r="A356" s="186">
        <v>0</v>
      </c>
      <c r="B356" s="186">
        <v>4116</v>
      </c>
      <c r="C356" s="186">
        <v>2100</v>
      </c>
      <c r="D356" s="186">
        <v>49032</v>
      </c>
      <c r="E356" s="186">
        <v>0</v>
      </c>
      <c r="F356" s="186">
        <v>13021</v>
      </c>
      <c r="G356" s="186">
        <v>1445</v>
      </c>
      <c r="H356" s="186">
        <v>41</v>
      </c>
      <c r="I356" s="186">
        <v>0</v>
      </c>
      <c r="J356" s="19"/>
      <c r="K356" s="257" t="s">
        <v>4929</v>
      </c>
      <c r="L356" s="258"/>
      <c r="M356" s="258"/>
      <c r="N356" s="258"/>
      <c r="O356" s="258"/>
      <c r="P356" s="317"/>
      <c r="Q356" s="464"/>
      <c r="R356" s="464"/>
      <c r="S356" s="465">
        <v>2154059</v>
      </c>
      <c r="T356" s="315"/>
      <c r="V356" s="556"/>
    </row>
    <row r="357" spans="1:22" s="182" customFormat="1" ht="36.75" customHeight="1" x14ac:dyDescent="0.25">
      <c r="A357" s="186">
        <v>0</v>
      </c>
      <c r="B357" s="186">
        <v>4116</v>
      </c>
      <c r="C357" s="186">
        <v>2100</v>
      </c>
      <c r="D357" s="186">
        <v>49032</v>
      </c>
      <c r="E357" s="186">
        <v>0</v>
      </c>
      <c r="F357" s="186">
        <v>13021</v>
      </c>
      <c r="G357" s="186">
        <v>1441</v>
      </c>
      <c r="H357" s="186">
        <v>42</v>
      </c>
      <c r="I357" s="186">
        <v>0</v>
      </c>
      <c r="J357" s="19"/>
      <c r="K357" s="257" t="s">
        <v>4928</v>
      </c>
      <c r="L357" s="258"/>
      <c r="M357" s="258"/>
      <c r="N357" s="258"/>
      <c r="O357" s="258"/>
      <c r="P357" s="317"/>
      <c r="Q357" s="464"/>
      <c r="R357" s="464"/>
      <c r="S357" s="465">
        <v>372368</v>
      </c>
      <c r="T357" s="315"/>
      <c r="V357" s="556"/>
    </row>
    <row r="358" spans="1:22" s="182" customFormat="1" ht="15" customHeight="1" x14ac:dyDescent="0.25">
      <c r="A358" s="186">
        <v>0</v>
      </c>
      <c r="B358" s="186">
        <v>4116</v>
      </c>
      <c r="C358" s="186">
        <v>2700</v>
      </c>
      <c r="D358" s="186">
        <v>0</v>
      </c>
      <c r="E358" s="186">
        <v>0</v>
      </c>
      <c r="F358" s="186">
        <v>13011</v>
      </c>
      <c r="G358" s="186">
        <v>0</v>
      </c>
      <c r="H358" s="186">
        <v>0</v>
      </c>
      <c r="I358" s="186">
        <v>0</v>
      </c>
      <c r="J358" s="14"/>
      <c r="K358" s="30" t="s">
        <v>3718</v>
      </c>
      <c r="L358" s="22">
        <v>6538050.21</v>
      </c>
      <c r="M358" s="22">
        <v>7864517.8200000003</v>
      </c>
      <c r="N358" s="22">
        <v>8699717.0899999999</v>
      </c>
      <c r="O358" s="17">
        <v>8371372.5899999999</v>
      </c>
      <c r="P358" s="317">
        <v>8099000</v>
      </c>
      <c r="Q358" s="168">
        <v>7000000</v>
      </c>
      <c r="R358" s="168">
        <v>9203600</v>
      </c>
      <c r="S358" s="168">
        <v>7000000</v>
      </c>
      <c r="T358" s="315" t="s">
        <v>4643</v>
      </c>
      <c r="V358" s="556"/>
    </row>
    <row r="359" spans="1:22" s="182" customFormat="1" ht="15" customHeight="1" x14ac:dyDescent="0.25">
      <c r="A359" s="186"/>
      <c r="B359" s="186" t="s">
        <v>4688</v>
      </c>
      <c r="C359" s="186">
        <v>0</v>
      </c>
      <c r="D359" s="186">
        <v>0</v>
      </c>
      <c r="E359" s="186">
        <v>0</v>
      </c>
      <c r="F359" s="186">
        <v>0</v>
      </c>
      <c r="G359" s="186">
        <v>0</v>
      </c>
      <c r="H359" s="186">
        <v>0</v>
      </c>
      <c r="I359" s="186">
        <v>0</v>
      </c>
      <c r="J359" s="14"/>
      <c r="K359" s="30" t="s">
        <v>4083</v>
      </c>
      <c r="L359" s="22">
        <v>31770902.839999996</v>
      </c>
      <c r="M359" s="22">
        <v>92290531.379999995</v>
      </c>
      <c r="N359" s="22">
        <v>92064517.620000005</v>
      </c>
      <c r="O359" s="22">
        <v>132943832.14</v>
      </c>
      <c r="P359" s="32">
        <v>105738886.16</v>
      </c>
      <c r="Q359" s="32">
        <f>13211040</f>
        <v>13211040</v>
      </c>
      <c r="R359" s="32">
        <v>69973678.5</v>
      </c>
      <c r="S359" s="32"/>
      <c r="T359" s="212"/>
      <c r="V359" s="556"/>
    </row>
    <row r="360" spans="1:22" s="272" customFormat="1" ht="1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4"/>
      <c r="K360" s="35" t="s">
        <v>171</v>
      </c>
      <c r="L360" s="36">
        <f t="shared" ref="L360:S360" si="46">SUM(L354:L359)</f>
        <v>71131053.049999997</v>
      </c>
      <c r="M360" s="36">
        <f t="shared" si="46"/>
        <v>137371949.19999999</v>
      </c>
      <c r="N360" s="36">
        <f t="shared" si="46"/>
        <v>140400334.71000001</v>
      </c>
      <c r="O360" s="36">
        <f t="shared" si="46"/>
        <v>182906604.73000002</v>
      </c>
      <c r="P360" s="36">
        <f t="shared" si="46"/>
        <v>154835786.16</v>
      </c>
      <c r="Q360" s="36">
        <f t="shared" si="46"/>
        <v>63828540</v>
      </c>
      <c r="R360" s="36">
        <f t="shared" si="46"/>
        <v>123079378.5</v>
      </c>
      <c r="S360" s="36">
        <f t="shared" si="46"/>
        <v>52594327</v>
      </c>
      <c r="T360" s="163"/>
      <c r="V360" s="560"/>
    </row>
    <row r="361" spans="1:22" ht="15" customHeight="1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8"/>
      <c r="K361" s="35" t="s">
        <v>4692</v>
      </c>
      <c r="L361" s="36">
        <f t="shared" ref="L361:R361" si="47">L351+L360</f>
        <v>510627747.58000004</v>
      </c>
      <c r="M361" s="36">
        <f t="shared" si="47"/>
        <v>600543210.03999996</v>
      </c>
      <c r="N361" s="36">
        <f t="shared" si="47"/>
        <v>584175308.23000002</v>
      </c>
      <c r="O361" s="36">
        <f t="shared" si="47"/>
        <v>678693812.20000005</v>
      </c>
      <c r="P361" s="36">
        <f t="shared" si="47"/>
        <v>792578952.80999994</v>
      </c>
      <c r="Q361" s="36">
        <f t="shared" si="47"/>
        <v>602614710</v>
      </c>
      <c r="R361" s="36">
        <f t="shared" si="47"/>
        <v>684340979.70000005</v>
      </c>
      <c r="S361" s="36">
        <f>S349+S360</f>
        <v>644206927</v>
      </c>
      <c r="T361" s="36"/>
    </row>
    <row r="362" spans="1:22" x14ac:dyDescent="0.25">
      <c r="K362" s="44"/>
      <c r="L362" s="45"/>
      <c r="M362" s="45"/>
      <c r="N362" s="45"/>
      <c r="O362" s="45"/>
      <c r="P362" s="45"/>
      <c r="Q362" s="45"/>
      <c r="R362" s="45"/>
      <c r="S362" s="45"/>
      <c r="T362" s="42"/>
    </row>
    <row r="363" spans="1:22" ht="30" x14ac:dyDescent="0.25">
      <c r="K363" s="44" t="s">
        <v>172</v>
      </c>
      <c r="L363" s="46" t="s">
        <v>173</v>
      </c>
      <c r="M363" s="47" t="s">
        <v>174</v>
      </c>
      <c r="N363" s="10" t="s">
        <v>3721</v>
      </c>
      <c r="O363" s="10" t="s">
        <v>4352</v>
      </c>
      <c r="P363" s="10" t="s">
        <v>4689</v>
      </c>
      <c r="Q363" s="10" t="s">
        <v>4502</v>
      </c>
      <c r="R363" s="10" t="str">
        <f>R2</f>
        <v>UR 6/2023</v>
      </c>
      <c r="S363" s="10" t="str">
        <f>S2</f>
        <v>Návrh 2024</v>
      </c>
      <c r="T363" s="42"/>
    </row>
    <row r="364" spans="1:22" x14ac:dyDescent="0.25">
      <c r="K364" s="248" t="s">
        <v>175</v>
      </c>
      <c r="L364" s="165">
        <f>360765821.74-L365</f>
        <v>346885181.74000001</v>
      </c>
      <c r="M364" s="22">
        <f>388805846.39-M365</f>
        <v>372964486.38999999</v>
      </c>
      <c r="N364" s="16">
        <f>363895125.04-N365</f>
        <v>349573315.04000002</v>
      </c>
      <c r="O364" s="16">
        <f>394698348.94-O365</f>
        <v>378436388.94</v>
      </c>
      <c r="P364" s="16">
        <f>474814751.89-P365</f>
        <v>451462801.88999999</v>
      </c>
      <c r="Q364" s="16">
        <v>464853000</v>
      </c>
      <c r="R364" s="16">
        <f>503574830-R365</f>
        <v>464853000</v>
      </c>
      <c r="S364" s="16">
        <f>501871800+4520000+900000</f>
        <v>507291800</v>
      </c>
      <c r="T364" s="183"/>
    </row>
    <row r="365" spans="1:22" s="184" customFormat="1" x14ac:dyDescent="0.25">
      <c r="A365" s="48"/>
      <c r="B365" s="48"/>
      <c r="C365" s="48"/>
      <c r="D365" s="48"/>
      <c r="E365" s="48"/>
      <c r="F365" s="48"/>
      <c r="G365" s="48"/>
      <c r="H365" s="48"/>
      <c r="I365" s="48"/>
      <c r="J365" s="49"/>
      <c r="K365" s="249" t="s">
        <v>176</v>
      </c>
      <c r="L365" s="203">
        <v>13880640</v>
      </c>
      <c r="M365" s="202">
        <v>15841360</v>
      </c>
      <c r="N365" s="203">
        <v>14321810</v>
      </c>
      <c r="O365" s="203">
        <v>16261960</v>
      </c>
      <c r="P365" s="203">
        <v>23351950</v>
      </c>
      <c r="Q365" s="203">
        <v>0</v>
      </c>
      <c r="R365" s="203">
        <v>38721830</v>
      </c>
      <c r="S365" s="203">
        <v>0</v>
      </c>
      <c r="T365" s="183"/>
      <c r="V365" s="561"/>
    </row>
    <row r="366" spans="1:22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248" t="s">
        <v>177</v>
      </c>
      <c r="L366" s="165">
        <v>84865368.540000007</v>
      </c>
      <c r="M366" s="22">
        <v>87088330.950000003</v>
      </c>
      <c r="N366" s="16">
        <v>90851043.180000007</v>
      </c>
      <c r="O366" s="16">
        <v>109916487.12</v>
      </c>
      <c r="P366" s="16">
        <v>172097407.16</v>
      </c>
      <c r="Q366" s="16">
        <v>72933170</v>
      </c>
      <c r="R366" s="16">
        <v>82081741.200000003</v>
      </c>
      <c r="S366" s="16">
        <f>82486596+834200+4</f>
        <v>83320800</v>
      </c>
      <c r="T366" s="183"/>
    </row>
    <row r="367" spans="1:22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248" t="s">
        <v>178</v>
      </c>
      <c r="L367" s="165">
        <v>7746144.25</v>
      </c>
      <c r="M367" s="22">
        <v>3118443.5</v>
      </c>
      <c r="N367" s="16">
        <v>3350615.3</v>
      </c>
      <c r="O367" s="16">
        <v>7434331.4100000001</v>
      </c>
      <c r="P367" s="16">
        <v>14182957.6</v>
      </c>
      <c r="Q367" s="16">
        <v>1000000</v>
      </c>
      <c r="R367" s="16">
        <v>14326860</v>
      </c>
      <c r="S367" s="16">
        <v>1000000</v>
      </c>
      <c r="T367" s="183"/>
    </row>
    <row r="368" spans="1:22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248" t="s">
        <v>179</v>
      </c>
      <c r="L368" s="31">
        <v>71131053.049999997</v>
      </c>
      <c r="M368" s="22">
        <v>137371949.19999999</v>
      </c>
      <c r="N368" s="16">
        <f>N360</f>
        <v>140400334.71000001</v>
      </c>
      <c r="O368" s="16">
        <f>O360</f>
        <v>182906604.73000002</v>
      </c>
      <c r="P368" s="16">
        <f>P360</f>
        <v>154835786.16</v>
      </c>
      <c r="Q368" s="16">
        <v>63828540</v>
      </c>
      <c r="R368" s="16">
        <f>R360</f>
        <v>123079378.5</v>
      </c>
      <c r="S368" s="16">
        <f>S360</f>
        <v>52594327</v>
      </c>
      <c r="T368" s="183"/>
    </row>
    <row r="369" spans="1:20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44" t="s">
        <v>3808</v>
      </c>
      <c r="L369" s="247">
        <f>SUM(L364:L368)</f>
        <v>524508387.58000004</v>
      </c>
      <c r="M369" s="247">
        <f t="shared" ref="M369:S369" si="48">SUM(M364:M368)</f>
        <v>616384570.03999996</v>
      </c>
      <c r="N369" s="247">
        <f t="shared" si="48"/>
        <v>598497118.23000002</v>
      </c>
      <c r="O369" s="247">
        <f t="shared" si="48"/>
        <v>694955772.20000005</v>
      </c>
      <c r="P369" s="247">
        <f t="shared" si="48"/>
        <v>815930902.80999994</v>
      </c>
      <c r="Q369" s="247">
        <f t="shared" si="48"/>
        <v>602614710</v>
      </c>
      <c r="R369" s="247">
        <f t="shared" si="48"/>
        <v>723062809.70000005</v>
      </c>
      <c r="S369" s="247">
        <f t="shared" si="48"/>
        <v>644206927</v>
      </c>
      <c r="T369" s="183"/>
    </row>
    <row r="370" spans="1:20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217" t="s">
        <v>3900</v>
      </c>
      <c r="L370" s="218">
        <f>L369-L361-L365</f>
        <v>0</v>
      </c>
      <c r="M370" s="218">
        <f t="shared" ref="M370:O370" si="49">M369-M361-M365</f>
        <v>0</v>
      </c>
      <c r="N370" s="218">
        <f t="shared" si="49"/>
        <v>0</v>
      </c>
      <c r="O370" s="218">
        <f t="shared" si="49"/>
        <v>0</v>
      </c>
      <c r="P370" s="218">
        <f t="shared" ref="P370" si="50">P369-P361-P365</f>
        <v>0</v>
      </c>
      <c r="Q370" s="218">
        <f t="shared" ref="Q370" si="51">Q369-Q361-Q365</f>
        <v>0</v>
      </c>
      <c r="R370" s="218">
        <f t="shared" ref="R370" si="52">R369-R361-R365</f>
        <v>0</v>
      </c>
      <c r="S370" s="218">
        <f>S361-S369</f>
        <v>0</v>
      </c>
      <c r="T370" s="185"/>
    </row>
    <row r="371" spans="1:20" x14ac:dyDescent="0.25">
      <c r="S371" s="106"/>
    </row>
    <row r="372" spans="1:20" x14ac:dyDescent="0.25">
      <c r="S372" s="106"/>
    </row>
    <row r="373" spans="1:20" x14ac:dyDescent="0.25">
      <c r="S373" s="106"/>
    </row>
    <row r="374" spans="1:20" x14ac:dyDescent="0.25">
      <c r="S374" s="106"/>
    </row>
    <row r="375" spans="1:20" x14ac:dyDescent="0.25">
      <c r="S375" s="106"/>
    </row>
    <row r="376" spans="1:20" x14ac:dyDescent="0.25">
      <c r="S376" s="106"/>
    </row>
    <row r="377" spans="1:20" x14ac:dyDescent="0.25">
      <c r="S377" s="106"/>
    </row>
    <row r="378" spans="1:20" x14ac:dyDescent="0.25">
      <c r="S378" s="106"/>
    </row>
    <row r="379" spans="1:20" x14ac:dyDescent="0.25">
      <c r="S379" s="106"/>
    </row>
    <row r="380" spans="1:20" x14ac:dyDescent="0.25">
      <c r="S380" s="230"/>
    </row>
  </sheetData>
  <sortState ref="A194:U299">
    <sortCondition ref="K194:K299"/>
  </sortState>
  <mergeCells count="1">
    <mergeCell ref="A1:C1"/>
  </mergeCells>
  <conditionalFormatting sqref="J355:J1048576 J1:J258 J350:J353">
    <cfRule type="duplicateValues" dxfId="57" priority="53"/>
  </conditionalFormatting>
  <conditionalFormatting sqref="J50">
    <cfRule type="duplicateValues" dxfId="56" priority="44"/>
  </conditionalFormatting>
  <conditionalFormatting sqref="J108">
    <cfRule type="duplicateValues" dxfId="55" priority="43"/>
  </conditionalFormatting>
  <conditionalFormatting sqref="J65">
    <cfRule type="duplicateValues" dxfId="54" priority="41"/>
  </conditionalFormatting>
  <conditionalFormatting sqref="J354">
    <cfRule type="duplicateValues" dxfId="53" priority="39"/>
  </conditionalFormatting>
  <conditionalFormatting sqref="J354">
    <cfRule type="duplicateValues" dxfId="52" priority="38"/>
  </conditionalFormatting>
  <conditionalFormatting sqref="J257">
    <cfRule type="duplicateValues" dxfId="51" priority="37"/>
  </conditionalFormatting>
  <conditionalFormatting sqref="J257">
    <cfRule type="duplicateValues" dxfId="50" priority="36"/>
  </conditionalFormatting>
  <conditionalFormatting sqref="A2:T2 J259:J349 L259:O350 P5:Q8 A3:Q4 C344 S3:T8 A350:T350 P9:T155 P156:S156 P157:T349 A243:O258 C239:C242 A5:O238 J239:J242 L239:O242">
    <cfRule type="containsText" priority="35" operator="containsText" text="celkem">
      <formula>NOT(ISERROR(SEARCH("celkem",A2)))</formula>
    </cfRule>
  </conditionalFormatting>
  <conditionalFormatting sqref="J181:J216">
    <cfRule type="duplicateValues" dxfId="49" priority="1116"/>
  </conditionalFormatting>
  <conditionalFormatting sqref="J311:J312">
    <cfRule type="duplicateValues" dxfId="48" priority="2"/>
  </conditionalFormatting>
  <conditionalFormatting sqref="J259:J349">
    <cfRule type="duplicateValues" dxfId="47" priority="2056"/>
  </conditionalFormatting>
  <conditionalFormatting sqref="R3:R8">
    <cfRule type="containsText" priority="1" operator="containsText" text="celkem">
      <formula>NOT(ISERROR(SEARCH("celkem",R3)))</formula>
    </cfRule>
  </conditionalFormatting>
  <conditionalFormatting sqref="J156:J180">
    <cfRule type="duplicateValues" dxfId="46" priority="2156"/>
  </conditionalFormatting>
  <printOptions horizontalCentered="1" headings="1"/>
  <pageMargins left="0.70866141732283472" right="0.70866141732283472" top="0.78740157480314965" bottom="0.78740157480314965" header="0.31496062992125984" footer="0.31496062992125984"/>
  <pageSetup paperSize="9" scale="56" fitToHeight="999" orientation="landscape" r:id="rId1"/>
  <headerFooter>
    <oddHeader>&amp;A</oddHeader>
    <oddFooter>&amp;A&amp;RStránka &amp;P</oddFooter>
  </headerFooter>
  <rowBreaks count="1" manualBreakCount="1">
    <brk id="3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V791"/>
  <sheetViews>
    <sheetView showGridLines="0" view="pageBreakPreview" zoomScaleNormal="70" zoomScaleSheetLayoutView="100" workbookViewId="0">
      <pane xSplit="11" ySplit="2" topLeftCell="Q765" activePane="bottomRight" state="frozen"/>
      <selection activeCell="K180" sqref="K179:K180"/>
      <selection pane="topRight" activeCell="K180" sqref="K179:K180"/>
      <selection pane="bottomLeft" activeCell="K180" sqref="K179:K180"/>
      <selection pane="bottomRight" activeCell="S756" sqref="S756:S761"/>
    </sheetView>
  </sheetViews>
  <sheetFormatPr defaultColWidth="8.85546875" defaultRowHeight="15" outlineLevelRow="2" x14ac:dyDescent="0.25"/>
  <cols>
    <col min="1" max="4" width="9.85546875" style="195" customWidth="1"/>
    <col min="5" max="5" width="10.28515625" style="195" hidden="1" customWidth="1"/>
    <col min="6" max="6" width="11.7109375" style="444" hidden="1" customWidth="1"/>
    <col min="7" max="7" width="11.5703125" style="195" hidden="1" customWidth="1"/>
    <col min="8" max="8" width="10.28515625" style="195" hidden="1" customWidth="1"/>
    <col min="9" max="9" width="11.140625" style="195" hidden="1" customWidth="1"/>
    <col min="10" max="10" width="31" style="340" hidden="1" customWidth="1"/>
    <col min="11" max="11" width="59.42578125" style="340" customWidth="1"/>
    <col min="12" max="12" width="18.140625" style="343" hidden="1" customWidth="1"/>
    <col min="13" max="14" width="14.85546875" style="343" hidden="1" customWidth="1"/>
    <col min="15" max="15" width="16.5703125" style="343" hidden="1" customWidth="1"/>
    <col min="16" max="16" width="20" style="343" customWidth="1"/>
    <col min="17" max="17" width="16.5703125" style="343" bestFit="1" customWidth="1"/>
    <col min="18" max="18" width="20" style="343" customWidth="1"/>
    <col min="19" max="19" width="19.5703125" style="343" customWidth="1"/>
    <col min="20" max="20" width="19.28515625" style="343" customWidth="1"/>
    <col min="21" max="21" width="80.85546875" style="550" customWidth="1"/>
    <col min="22" max="22" width="16.42578125" style="343" customWidth="1"/>
    <col min="23" max="16384" width="8.85546875" style="39"/>
  </cols>
  <sheetData>
    <row r="1" spans="1:22" ht="18.75" x14ac:dyDescent="0.25">
      <c r="A1" s="318" t="s">
        <v>180</v>
      </c>
      <c r="B1" s="191"/>
      <c r="C1" s="191"/>
      <c r="D1" s="191"/>
      <c r="E1" s="191"/>
      <c r="F1" s="437"/>
      <c r="G1" s="191"/>
      <c r="H1" s="191"/>
      <c r="I1" s="191"/>
      <c r="J1" s="452">
        <f>O1+P1+Q1+L1+M1+N1</f>
        <v>0</v>
      </c>
      <c r="K1" s="318"/>
      <c r="L1" s="342">
        <f t="shared" ref="L1:R1" si="0">L789</f>
        <v>0</v>
      </c>
      <c r="M1" s="342">
        <f t="shared" si="0"/>
        <v>0</v>
      </c>
      <c r="N1" s="342">
        <f t="shared" si="0"/>
        <v>0</v>
      </c>
      <c r="O1" s="342">
        <f t="shared" si="0"/>
        <v>0</v>
      </c>
      <c r="P1" s="342">
        <f t="shared" si="0"/>
        <v>0</v>
      </c>
      <c r="Q1" s="342">
        <f t="shared" si="0"/>
        <v>0</v>
      </c>
      <c r="R1" s="342">
        <f t="shared" si="0"/>
        <v>0</v>
      </c>
      <c r="S1" s="463">
        <f>S789</f>
        <v>0</v>
      </c>
      <c r="T1" s="342"/>
      <c r="U1" s="540"/>
    </row>
    <row r="2" spans="1:22" s="54" customFormat="1" x14ac:dyDescent="0.25">
      <c r="A2" s="289" t="s">
        <v>1</v>
      </c>
      <c r="B2" s="289" t="s">
        <v>2</v>
      </c>
      <c r="C2" s="289" t="s">
        <v>3</v>
      </c>
      <c r="D2" s="289" t="s">
        <v>4</v>
      </c>
      <c r="E2" s="289" t="s">
        <v>5</v>
      </c>
      <c r="F2" s="289" t="s">
        <v>6</v>
      </c>
      <c r="G2" s="289" t="s">
        <v>7</v>
      </c>
      <c r="H2" s="289" t="s">
        <v>8</v>
      </c>
      <c r="I2" s="289" t="s">
        <v>4506</v>
      </c>
      <c r="J2" s="319" t="s">
        <v>9</v>
      </c>
      <c r="K2" s="319" t="s">
        <v>181</v>
      </c>
      <c r="L2" s="370" t="s">
        <v>182</v>
      </c>
      <c r="M2" s="370" t="s">
        <v>183</v>
      </c>
      <c r="N2" s="370" t="s">
        <v>3716</v>
      </c>
      <c r="O2" s="370" t="s">
        <v>4349</v>
      </c>
      <c r="P2" s="370" t="s">
        <v>4503</v>
      </c>
      <c r="Q2" s="370" t="s">
        <v>4502</v>
      </c>
      <c r="R2" s="370" t="s">
        <v>4695</v>
      </c>
      <c r="S2" s="370" t="s">
        <v>4640</v>
      </c>
      <c r="T2" s="370" t="s">
        <v>4505</v>
      </c>
      <c r="U2" s="563" t="s">
        <v>4504</v>
      </c>
      <c r="V2" s="344"/>
    </row>
    <row r="3" spans="1:22" outlineLevel="2" x14ac:dyDescent="0.25">
      <c r="A3" s="194">
        <v>6112</v>
      </c>
      <c r="B3" s="194">
        <v>5179</v>
      </c>
      <c r="C3" s="194">
        <v>2010</v>
      </c>
      <c r="D3" s="194">
        <v>0</v>
      </c>
      <c r="E3" s="194">
        <v>0</v>
      </c>
      <c r="F3" s="194">
        <v>0</v>
      </c>
      <c r="G3" s="194">
        <v>0</v>
      </c>
      <c r="H3" s="194">
        <v>0</v>
      </c>
      <c r="I3" s="194">
        <v>0</v>
      </c>
      <c r="J3" s="320" t="str">
        <f t="shared" ref="J3:J8" si="1">CONCATENATE(A3,"/",B3,"/",C3,"/",D3,"/",E3,"/",F3,"/",G3,"/",H3,"/",I3)</f>
        <v>6112/5179/2010/0/0/0/0/0/0</v>
      </c>
      <c r="K3" s="320" t="s">
        <v>4477</v>
      </c>
      <c r="L3" s="201"/>
      <c r="M3" s="201"/>
      <c r="N3" s="201"/>
      <c r="O3" s="201"/>
      <c r="P3" s="201"/>
      <c r="Q3" s="201">
        <v>121000</v>
      </c>
      <c r="R3" s="201">
        <v>121000</v>
      </c>
      <c r="S3" s="201">
        <v>140000</v>
      </c>
      <c r="T3" s="201"/>
      <c r="U3" s="403"/>
    </row>
    <row r="4" spans="1:22" outlineLevel="2" x14ac:dyDescent="0.25">
      <c r="A4" s="194">
        <v>6171</v>
      </c>
      <c r="B4" s="194">
        <v>5179</v>
      </c>
      <c r="C4" s="194">
        <v>2010</v>
      </c>
      <c r="D4" s="194">
        <v>0</v>
      </c>
      <c r="E4" s="194">
        <v>0</v>
      </c>
      <c r="F4" s="194">
        <v>0</v>
      </c>
      <c r="G4" s="194">
        <v>0</v>
      </c>
      <c r="H4" s="194">
        <v>0</v>
      </c>
      <c r="I4" s="194">
        <v>0</v>
      </c>
      <c r="J4" s="320" t="str">
        <f t="shared" si="1"/>
        <v>6171/5179/2010/0/0/0/0/0/0</v>
      </c>
      <c r="K4" s="320" t="s">
        <v>184</v>
      </c>
      <c r="L4" s="201"/>
      <c r="M4" s="201"/>
      <c r="N4" s="201">
        <v>138000</v>
      </c>
      <c r="O4" s="201">
        <v>160000</v>
      </c>
      <c r="P4" s="201">
        <v>147000</v>
      </c>
      <c r="Q4" s="201">
        <f>159000-121000</f>
        <v>38000</v>
      </c>
      <c r="R4" s="201">
        <v>38000</v>
      </c>
      <c r="S4" s="201">
        <v>1000000</v>
      </c>
      <c r="T4" s="201"/>
      <c r="U4" s="403"/>
    </row>
    <row r="5" spans="1:22" outlineLevel="2" x14ac:dyDescent="0.25">
      <c r="A5" s="193">
        <v>6112</v>
      </c>
      <c r="B5" s="193">
        <v>5038</v>
      </c>
      <c r="C5" s="193">
        <v>2010</v>
      </c>
      <c r="D5" s="193">
        <v>0</v>
      </c>
      <c r="E5" s="193">
        <v>0</v>
      </c>
      <c r="F5" s="194">
        <v>0</v>
      </c>
      <c r="G5" s="193">
        <v>0</v>
      </c>
      <c r="H5" s="193">
        <v>0</v>
      </c>
      <c r="I5" s="193">
        <v>0</v>
      </c>
      <c r="J5" s="321" t="str">
        <f t="shared" si="1"/>
        <v>6112/5038/2010/0/0/0/0/0/0</v>
      </c>
      <c r="K5" s="321" t="s">
        <v>4478</v>
      </c>
      <c r="L5" s="201">
        <v>17527</v>
      </c>
      <c r="M5" s="201">
        <v>20132</v>
      </c>
      <c r="N5" s="201">
        <v>18617</v>
      </c>
      <c r="O5" s="201">
        <v>20864</v>
      </c>
      <c r="P5" s="201">
        <v>29716</v>
      </c>
      <c r="Q5" s="201">
        <v>30000</v>
      </c>
      <c r="R5" s="201">
        <v>30000</v>
      </c>
      <c r="S5" s="201">
        <v>15000</v>
      </c>
      <c r="T5" s="201"/>
      <c r="U5" s="403"/>
    </row>
    <row r="6" spans="1:22" ht="28.5" customHeight="1" outlineLevel="2" x14ac:dyDescent="0.25">
      <c r="A6" s="193">
        <v>6171</v>
      </c>
      <c r="B6" s="193">
        <v>5499</v>
      </c>
      <c r="C6" s="193">
        <v>2010</v>
      </c>
      <c r="D6" s="193">
        <v>0</v>
      </c>
      <c r="E6" s="193">
        <v>0</v>
      </c>
      <c r="F6" s="194">
        <v>0</v>
      </c>
      <c r="G6" s="193">
        <v>0</v>
      </c>
      <c r="H6" s="193">
        <v>0</v>
      </c>
      <c r="I6" s="193">
        <v>0</v>
      </c>
      <c r="J6" s="321" t="str">
        <f t="shared" si="1"/>
        <v>6171/5499/2010/0/0/0/0/0/0</v>
      </c>
      <c r="K6" s="321" t="s">
        <v>185</v>
      </c>
      <c r="L6" s="201">
        <v>2619523</v>
      </c>
      <c r="M6" s="201">
        <v>2901696</v>
      </c>
      <c r="N6" s="201">
        <v>3162183.8</v>
      </c>
      <c r="O6" s="201">
        <v>3348887</v>
      </c>
      <c r="P6" s="201">
        <v>3075074.5</v>
      </c>
      <c r="Q6" s="201">
        <f>3516000-66600-15000</f>
        <v>3434400</v>
      </c>
      <c r="R6" s="201">
        <v>3434400</v>
      </c>
      <c r="S6" s="201">
        <v>4468400</v>
      </c>
      <c r="T6" s="201"/>
      <c r="U6" s="403"/>
    </row>
    <row r="7" spans="1:22" outlineLevel="2" x14ac:dyDescent="0.25">
      <c r="A7" s="193">
        <v>6171</v>
      </c>
      <c r="B7" s="193">
        <v>5660</v>
      </c>
      <c r="C7" s="193">
        <v>2010</v>
      </c>
      <c r="D7" s="193">
        <v>0</v>
      </c>
      <c r="E7" s="193">
        <v>0</v>
      </c>
      <c r="F7" s="194">
        <v>0</v>
      </c>
      <c r="G7" s="193">
        <v>0</v>
      </c>
      <c r="H7" s="193">
        <v>0</v>
      </c>
      <c r="I7" s="193">
        <v>0</v>
      </c>
      <c r="J7" s="321" t="str">
        <f t="shared" si="1"/>
        <v>6171/5660/2010/0/0/0/0/0/0</v>
      </c>
      <c r="K7" s="321" t="s">
        <v>186</v>
      </c>
      <c r="L7" s="201">
        <v>5000</v>
      </c>
      <c r="M7" s="201">
        <v>10000</v>
      </c>
      <c r="N7" s="201"/>
      <c r="O7" s="201"/>
      <c r="P7" s="201"/>
      <c r="Q7" s="201">
        <v>10000</v>
      </c>
      <c r="R7" s="201">
        <v>10000</v>
      </c>
      <c r="S7" s="201">
        <v>10000</v>
      </c>
      <c r="T7" s="201"/>
      <c r="U7" s="403"/>
    </row>
    <row r="8" spans="1:22" outlineLevel="2" x14ac:dyDescent="0.25">
      <c r="A8" s="193">
        <v>6112</v>
      </c>
      <c r="B8" s="193">
        <v>5499</v>
      </c>
      <c r="C8" s="193">
        <v>2010</v>
      </c>
      <c r="D8" s="193">
        <v>0</v>
      </c>
      <c r="E8" s="193">
        <v>0</v>
      </c>
      <c r="F8" s="194">
        <v>0</v>
      </c>
      <c r="G8" s="193">
        <v>0</v>
      </c>
      <c r="H8" s="193">
        <v>0</v>
      </c>
      <c r="I8" s="193">
        <v>0</v>
      </c>
      <c r="J8" s="321" t="str">
        <f t="shared" si="1"/>
        <v>6112/5499/2010/0/0/0/0/0/0</v>
      </c>
      <c r="K8" s="321" t="s">
        <v>4479</v>
      </c>
      <c r="L8" s="201"/>
      <c r="M8" s="201"/>
      <c r="N8" s="201"/>
      <c r="O8" s="201"/>
      <c r="P8" s="201"/>
      <c r="Q8" s="201">
        <v>66600</v>
      </c>
      <c r="R8" s="201">
        <v>66600</v>
      </c>
      <c r="S8" s="201">
        <v>66600</v>
      </c>
      <c r="T8" s="201"/>
      <c r="U8" s="403"/>
    </row>
    <row r="9" spans="1:22" outlineLevel="1" x14ac:dyDescent="0.25">
      <c r="A9" s="491"/>
      <c r="B9" s="491"/>
      <c r="C9" s="289" t="s">
        <v>4656</v>
      </c>
      <c r="D9" s="491"/>
      <c r="E9" s="491"/>
      <c r="F9" s="492"/>
      <c r="G9" s="491"/>
      <c r="H9" s="491"/>
      <c r="I9" s="491"/>
      <c r="J9" s="493">
        <v>2010</v>
      </c>
      <c r="K9" s="493" t="str">
        <f>VLOOKUP(J9,orJ_správce_telefon_mail!A:B,2,0)</f>
        <v>Sociální fond Bc. Brandejská</v>
      </c>
      <c r="L9" s="494">
        <f t="shared" ref="L9:T9" si="2">SUBTOTAL(9,L3:L8)</f>
        <v>2642050</v>
      </c>
      <c r="M9" s="494">
        <f t="shared" si="2"/>
        <v>2931828</v>
      </c>
      <c r="N9" s="494">
        <f t="shared" si="2"/>
        <v>3318800.8</v>
      </c>
      <c r="O9" s="494">
        <f t="shared" si="2"/>
        <v>3529751</v>
      </c>
      <c r="P9" s="494">
        <f t="shared" si="2"/>
        <v>3251790.5</v>
      </c>
      <c r="Q9" s="494">
        <f t="shared" si="2"/>
        <v>3700000</v>
      </c>
      <c r="R9" s="494">
        <f t="shared" si="2"/>
        <v>3700000</v>
      </c>
      <c r="S9" s="494">
        <f t="shared" si="2"/>
        <v>5700000</v>
      </c>
      <c r="T9" s="494">
        <f t="shared" si="2"/>
        <v>0</v>
      </c>
      <c r="U9" s="541"/>
    </row>
    <row r="10" spans="1:22" outlineLevel="2" x14ac:dyDescent="0.25">
      <c r="A10" s="193">
        <v>3319</v>
      </c>
      <c r="B10" s="193">
        <v>5169</v>
      </c>
      <c r="C10" s="193">
        <v>2040</v>
      </c>
      <c r="D10" s="193">
        <v>0</v>
      </c>
      <c r="E10" s="193">
        <v>0</v>
      </c>
      <c r="F10" s="193">
        <v>0</v>
      </c>
      <c r="G10" s="193">
        <v>0</v>
      </c>
      <c r="H10" s="193">
        <v>6</v>
      </c>
      <c r="I10" s="193">
        <v>0</v>
      </c>
      <c r="J10" s="321" t="str">
        <f t="shared" ref="J10:J53" si="3">CONCATENATE(A10,"/",B10,"/",C10,"/",D10,"/",E10,"/",F10,"/",G10,"/",H10,"/",I10)</f>
        <v>3319/5169/2040/0/0/0/0/6/0</v>
      </c>
      <c r="K10" s="321" t="s">
        <v>4804</v>
      </c>
      <c r="L10" s="201"/>
      <c r="M10" s="201"/>
      <c r="N10" s="201"/>
      <c r="O10" s="201"/>
      <c r="P10" s="201"/>
      <c r="Q10" s="201"/>
      <c r="R10" s="201"/>
      <c r="S10" s="201">
        <v>70000</v>
      </c>
      <c r="T10" s="201"/>
      <c r="U10" s="403"/>
    </row>
    <row r="11" spans="1:22" outlineLevel="2" x14ac:dyDescent="0.25">
      <c r="A11" s="193">
        <v>3319</v>
      </c>
      <c r="B11" s="193">
        <v>5169</v>
      </c>
      <c r="C11" s="193">
        <v>2040</v>
      </c>
      <c r="D11" s="193">
        <v>0</v>
      </c>
      <c r="E11" s="193">
        <v>0</v>
      </c>
      <c r="F11" s="193">
        <v>0</v>
      </c>
      <c r="G11" s="193">
        <v>0</v>
      </c>
      <c r="H11" s="193">
        <v>7</v>
      </c>
      <c r="I11" s="193">
        <v>0</v>
      </c>
      <c r="J11" s="321" t="str">
        <f t="shared" si="3"/>
        <v>3319/5169/2040/0/0/0/0/7/0</v>
      </c>
      <c r="K11" s="321" t="s">
        <v>4805</v>
      </c>
      <c r="L11" s="201"/>
      <c r="M11" s="201"/>
      <c r="N11" s="201"/>
      <c r="O11" s="201"/>
      <c r="P11" s="201"/>
      <c r="Q11" s="201"/>
      <c r="R11" s="201"/>
      <c r="S11" s="201">
        <v>70000</v>
      </c>
      <c r="T11" s="201">
        <v>80000</v>
      </c>
      <c r="U11" s="403"/>
    </row>
    <row r="12" spans="1:22" outlineLevel="2" x14ac:dyDescent="0.25">
      <c r="A12" s="194">
        <v>3319</v>
      </c>
      <c r="B12" s="194">
        <v>5169</v>
      </c>
      <c r="C12" s="194">
        <v>2040</v>
      </c>
      <c r="D12" s="194">
        <v>66000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320" t="str">
        <f t="shared" si="3"/>
        <v>3319/5169/2040/66000/0/0/0/0/0</v>
      </c>
      <c r="K12" s="320" t="s">
        <v>405</v>
      </c>
      <c r="L12" s="201"/>
      <c r="M12" s="201">
        <v>136566</v>
      </c>
      <c r="N12" s="201">
        <v>12584</v>
      </c>
      <c r="O12" s="201"/>
      <c r="P12" s="201">
        <v>129193.7</v>
      </c>
      <c r="Q12" s="201">
        <v>100000</v>
      </c>
      <c r="R12" s="201">
        <v>100000</v>
      </c>
      <c r="S12" s="201">
        <v>100000</v>
      </c>
      <c r="T12" s="201"/>
      <c r="U12" s="403"/>
    </row>
    <row r="13" spans="1:22" outlineLevel="2" x14ac:dyDescent="0.25">
      <c r="A13" s="193">
        <v>3319</v>
      </c>
      <c r="B13" s="193">
        <v>5169</v>
      </c>
      <c r="C13" s="193">
        <v>2040</v>
      </c>
      <c r="D13" s="193">
        <v>0</v>
      </c>
      <c r="E13" s="193">
        <v>0</v>
      </c>
      <c r="F13" s="193">
        <v>0</v>
      </c>
      <c r="G13" s="193">
        <v>0</v>
      </c>
      <c r="H13" s="193">
        <v>9</v>
      </c>
      <c r="I13" s="193">
        <v>0</v>
      </c>
      <c r="J13" s="321" t="str">
        <f t="shared" si="3"/>
        <v>3319/5169/2040/0/0/0/0/9/0</v>
      </c>
      <c r="K13" s="321" t="s">
        <v>4808</v>
      </c>
      <c r="L13" s="201"/>
      <c r="M13" s="201"/>
      <c r="N13" s="201"/>
      <c r="O13" s="201"/>
      <c r="P13" s="201"/>
      <c r="Q13" s="201"/>
      <c r="R13" s="201"/>
      <c r="S13" s="201"/>
      <c r="T13" s="201">
        <v>50000</v>
      </c>
      <c r="U13" s="403"/>
    </row>
    <row r="14" spans="1:22" outlineLevel="2" x14ac:dyDescent="0.25">
      <c r="A14" s="316">
        <v>3900</v>
      </c>
      <c r="B14" s="316">
        <v>5222</v>
      </c>
      <c r="C14" s="316">
        <v>2040</v>
      </c>
      <c r="D14" s="316">
        <v>0</v>
      </c>
      <c r="E14" s="316">
        <v>0</v>
      </c>
      <c r="F14" s="316">
        <v>0</v>
      </c>
      <c r="G14" s="316">
        <v>0</v>
      </c>
      <c r="H14" s="316">
        <v>55</v>
      </c>
      <c r="I14" s="316">
        <v>0</v>
      </c>
      <c r="J14" s="323" t="str">
        <f t="shared" si="3"/>
        <v>3900/5222/2040/0/0/0/0/55/0</v>
      </c>
      <c r="K14" s="323" t="s">
        <v>4402</v>
      </c>
      <c r="L14" s="346">
        <v>100000</v>
      </c>
      <c r="M14" s="346">
        <v>777000</v>
      </c>
      <c r="N14" s="346">
        <v>235000</v>
      </c>
      <c r="O14" s="346">
        <v>527000</v>
      </c>
      <c r="P14" s="346">
        <v>495000</v>
      </c>
      <c r="Q14" s="346">
        <v>600000</v>
      </c>
      <c r="R14" s="346">
        <v>600000</v>
      </c>
      <c r="S14" s="346">
        <v>600000</v>
      </c>
      <c r="T14" s="346"/>
      <c r="U14" s="542"/>
    </row>
    <row r="15" spans="1:22" outlineLevel="2" x14ac:dyDescent="0.25">
      <c r="A15" s="193">
        <v>3900</v>
      </c>
      <c r="B15" s="193">
        <v>5901</v>
      </c>
      <c r="C15" s="193">
        <v>2040</v>
      </c>
      <c r="D15" s="193">
        <v>0</v>
      </c>
      <c r="E15" s="193">
        <v>0</v>
      </c>
      <c r="F15" s="194">
        <v>0</v>
      </c>
      <c r="G15" s="193">
        <v>0</v>
      </c>
      <c r="H15" s="193">
        <v>50</v>
      </c>
      <c r="I15" s="193">
        <v>0</v>
      </c>
      <c r="J15" s="321" t="str">
        <f t="shared" si="3"/>
        <v>3900/5901/2040/0/0/0/0/50/0</v>
      </c>
      <c r="K15" s="321" t="s">
        <v>406</v>
      </c>
      <c r="L15" s="201">
        <v>922900</v>
      </c>
      <c r="M15" s="201">
        <v>597700</v>
      </c>
      <c r="N15" s="201">
        <v>645100</v>
      </c>
      <c r="O15" s="201">
        <v>785100</v>
      </c>
      <c r="P15" s="201">
        <v>699700</v>
      </c>
      <c r="Q15" s="201">
        <v>900000</v>
      </c>
      <c r="R15" s="201">
        <v>900000</v>
      </c>
      <c r="S15" s="201">
        <v>900000</v>
      </c>
      <c r="T15" s="201">
        <v>100000</v>
      </c>
      <c r="U15" s="529"/>
    </row>
    <row r="16" spans="1:22" outlineLevel="2" x14ac:dyDescent="0.25">
      <c r="A16" s="208">
        <v>3315</v>
      </c>
      <c r="B16" s="208">
        <v>5336</v>
      </c>
      <c r="C16" s="208">
        <v>2040</v>
      </c>
      <c r="D16" s="208">
        <v>52628</v>
      </c>
      <c r="E16" s="208">
        <v>0</v>
      </c>
      <c r="F16" s="438">
        <v>34070</v>
      </c>
      <c r="G16" s="208">
        <v>0</v>
      </c>
      <c r="H16" s="208">
        <v>0</v>
      </c>
      <c r="I16" s="208">
        <v>0</v>
      </c>
      <c r="J16" s="325" t="str">
        <f t="shared" si="3"/>
        <v>3315/5336/2040/52628/0/34070/0/0/0</v>
      </c>
      <c r="K16" s="325" t="s">
        <v>407</v>
      </c>
      <c r="L16" s="347">
        <v>270000</v>
      </c>
      <c r="M16" s="347">
        <f>270000+76235</f>
        <v>346235</v>
      </c>
      <c r="N16" s="347">
        <v>230000</v>
      </c>
      <c r="O16" s="347">
        <v>210000</v>
      </c>
      <c r="P16" s="347">
        <v>120000</v>
      </c>
      <c r="Q16" s="347"/>
      <c r="R16" s="347"/>
      <c r="S16" s="347"/>
      <c r="T16" s="347"/>
      <c r="U16" s="530"/>
    </row>
    <row r="17" spans="1:22" outlineLevel="2" x14ac:dyDescent="0.25">
      <c r="A17" s="208">
        <v>3315</v>
      </c>
      <c r="B17" s="208">
        <v>5331</v>
      </c>
      <c r="C17" s="208">
        <v>2040</v>
      </c>
      <c r="D17" s="208">
        <v>52628</v>
      </c>
      <c r="E17" s="208">
        <v>0</v>
      </c>
      <c r="F17" s="438">
        <v>0</v>
      </c>
      <c r="G17" s="208">
        <v>0</v>
      </c>
      <c r="H17" s="208">
        <v>0</v>
      </c>
      <c r="I17" s="208">
        <v>0</v>
      </c>
      <c r="J17" s="325" t="str">
        <f t="shared" si="3"/>
        <v>3315/5331/2040/52628/0/0/0/0/0</v>
      </c>
      <c r="K17" s="325" t="s">
        <v>3696</v>
      </c>
      <c r="L17" s="347">
        <f>1904000+50000+50673.72</f>
        <v>2004673.72</v>
      </c>
      <c r="M17" s="347">
        <f>2208321+50000</f>
        <v>2258321</v>
      </c>
      <c r="N17" s="347">
        <v>2357935</v>
      </c>
      <c r="O17" s="347">
        <v>2205000</v>
      </c>
      <c r="P17" s="347">
        <v>2355000</v>
      </c>
      <c r="Q17" s="347">
        <v>2088000</v>
      </c>
      <c r="R17" s="347">
        <v>2088000</v>
      </c>
      <c r="S17" s="347">
        <v>3361400</v>
      </c>
      <c r="T17" s="347">
        <v>68600</v>
      </c>
      <c r="U17" s="530" t="s">
        <v>4789</v>
      </c>
    </row>
    <row r="18" spans="1:22" s="59" customFormat="1" outlineLevel="2" x14ac:dyDescent="0.25">
      <c r="A18" s="193">
        <v>3315</v>
      </c>
      <c r="B18" s="193">
        <v>5169</v>
      </c>
      <c r="C18" s="193">
        <v>2040</v>
      </c>
      <c r="D18" s="194">
        <v>42055</v>
      </c>
      <c r="E18" s="194">
        <v>0</v>
      </c>
      <c r="F18" s="194">
        <v>0</v>
      </c>
      <c r="G18" s="194">
        <v>0</v>
      </c>
      <c r="H18" s="194">
        <v>0</v>
      </c>
      <c r="I18" s="194">
        <v>0</v>
      </c>
      <c r="J18" s="320" t="str">
        <f t="shared" si="3"/>
        <v>3315/5169/2040/42055/0/0/0/0/0</v>
      </c>
      <c r="K18" s="320" t="s">
        <v>408</v>
      </c>
      <c r="L18" s="201"/>
      <c r="M18" s="201"/>
      <c r="N18" s="201">
        <v>100000</v>
      </c>
      <c r="O18" s="201">
        <v>100000</v>
      </c>
      <c r="P18" s="201">
        <v>100000</v>
      </c>
      <c r="Q18" s="201">
        <v>100000</v>
      </c>
      <c r="R18" s="201">
        <v>100000</v>
      </c>
      <c r="S18" s="201">
        <v>100000</v>
      </c>
      <c r="T18" s="201"/>
      <c r="U18" s="403"/>
      <c r="V18" s="351"/>
    </row>
    <row r="19" spans="1:22" s="59" customFormat="1" outlineLevel="2" x14ac:dyDescent="0.25">
      <c r="A19" s="194">
        <v>3349</v>
      </c>
      <c r="B19" s="194">
        <v>5138</v>
      </c>
      <c r="C19" s="194">
        <v>2040</v>
      </c>
      <c r="D19" s="193">
        <v>66625</v>
      </c>
      <c r="E19" s="193">
        <v>0</v>
      </c>
      <c r="F19" s="194">
        <v>0</v>
      </c>
      <c r="G19" s="193">
        <v>0</v>
      </c>
      <c r="H19" s="193">
        <v>0</v>
      </c>
      <c r="I19" s="193">
        <v>0</v>
      </c>
      <c r="J19" s="321" t="str">
        <f t="shared" si="3"/>
        <v>3349/5138/2040/66625/0/0/0/0/0</v>
      </c>
      <c r="K19" s="321" t="s">
        <v>409</v>
      </c>
      <c r="L19" s="201">
        <v>103136</v>
      </c>
      <c r="M19" s="201">
        <v>103136</v>
      </c>
      <c r="N19" s="201">
        <v>103136</v>
      </c>
      <c r="O19" s="201">
        <v>103136</v>
      </c>
      <c r="P19" s="201">
        <v>110132</v>
      </c>
      <c r="Q19" s="201">
        <v>116000</v>
      </c>
      <c r="R19" s="201">
        <v>116000</v>
      </c>
      <c r="S19" s="201">
        <v>140000</v>
      </c>
      <c r="T19" s="201"/>
      <c r="U19" s="403"/>
      <c r="V19" s="351"/>
    </row>
    <row r="20" spans="1:22" s="59" customFormat="1" outlineLevel="2" x14ac:dyDescent="0.25">
      <c r="A20" s="193">
        <v>3319</v>
      </c>
      <c r="B20" s="193">
        <v>5169</v>
      </c>
      <c r="C20" s="193">
        <v>2040</v>
      </c>
      <c r="D20" s="193">
        <v>66622</v>
      </c>
      <c r="E20" s="193">
        <v>0</v>
      </c>
      <c r="F20" s="194">
        <v>0</v>
      </c>
      <c r="G20" s="193">
        <v>0</v>
      </c>
      <c r="H20" s="193">
        <v>0</v>
      </c>
      <c r="I20" s="193">
        <v>0</v>
      </c>
      <c r="J20" s="321" t="str">
        <f t="shared" si="3"/>
        <v>3319/5169/2040/66622/0/0/0/0/0</v>
      </c>
      <c r="K20" s="321" t="s">
        <v>410</v>
      </c>
      <c r="L20" s="201">
        <v>30000</v>
      </c>
      <c r="M20" s="201">
        <v>30000</v>
      </c>
      <c r="N20" s="201">
        <v>27500</v>
      </c>
      <c r="O20" s="201">
        <v>30000</v>
      </c>
      <c r="P20" s="201">
        <v>36074.199999999997</v>
      </c>
      <c r="Q20" s="201">
        <v>30000</v>
      </c>
      <c r="R20" s="201">
        <v>30000</v>
      </c>
      <c r="S20" s="201">
        <v>30000</v>
      </c>
      <c r="T20" s="201"/>
      <c r="U20" s="403"/>
      <c r="V20" s="351"/>
    </row>
    <row r="21" spans="1:22" s="59" customFormat="1" outlineLevel="2" x14ac:dyDescent="0.25">
      <c r="A21" s="209">
        <v>3319</v>
      </c>
      <c r="B21" s="209">
        <v>5222</v>
      </c>
      <c r="C21" s="209">
        <v>2040</v>
      </c>
      <c r="D21" s="209">
        <v>42816</v>
      </c>
      <c r="E21" s="209">
        <v>0</v>
      </c>
      <c r="F21" s="210">
        <v>0</v>
      </c>
      <c r="G21" s="209">
        <v>0</v>
      </c>
      <c r="H21" s="209">
        <v>0</v>
      </c>
      <c r="I21" s="209">
        <v>0</v>
      </c>
      <c r="J21" s="324" t="str">
        <f t="shared" si="3"/>
        <v>3319/5222/2040/42816/0/0/0/0/0</v>
      </c>
      <c r="K21" s="324" t="s">
        <v>411</v>
      </c>
      <c r="L21" s="206">
        <v>50000</v>
      </c>
      <c r="M21" s="206">
        <v>110000</v>
      </c>
      <c r="N21" s="206">
        <v>29000</v>
      </c>
      <c r="O21" s="206">
        <v>29000</v>
      </c>
      <c r="P21" s="206">
        <v>20000</v>
      </c>
      <c r="Q21" s="206">
        <v>20000</v>
      </c>
      <c r="R21" s="206">
        <v>20000</v>
      </c>
      <c r="S21" s="206">
        <v>30000</v>
      </c>
      <c r="T21" s="206"/>
      <c r="U21" s="531"/>
      <c r="V21" s="351"/>
    </row>
    <row r="22" spans="1:22" s="59" customFormat="1" ht="15.75" customHeight="1" outlineLevel="2" x14ac:dyDescent="0.25">
      <c r="A22" s="193">
        <v>3349</v>
      </c>
      <c r="B22" s="193">
        <v>5139</v>
      </c>
      <c r="C22" s="193">
        <v>2040</v>
      </c>
      <c r="D22" s="193">
        <v>0</v>
      </c>
      <c r="E22" s="193">
        <v>0</v>
      </c>
      <c r="F22" s="194">
        <v>0</v>
      </c>
      <c r="G22" s="193">
        <v>0</v>
      </c>
      <c r="H22" s="193">
        <v>0</v>
      </c>
      <c r="I22" s="193">
        <v>0</v>
      </c>
      <c r="J22" s="321" t="str">
        <f t="shared" si="3"/>
        <v>3349/5139/2040/0/0/0/0/0/0</v>
      </c>
      <c r="K22" s="321" t="s">
        <v>412</v>
      </c>
      <c r="L22" s="201">
        <f>1210+792039.38</f>
        <v>793249.38</v>
      </c>
      <c r="M22" s="201">
        <f>678864+74879.41</f>
        <v>753743.41</v>
      </c>
      <c r="N22" s="201">
        <v>742469</v>
      </c>
      <c r="O22" s="201">
        <v>762785.65</v>
      </c>
      <c r="P22" s="201">
        <v>941184.82</v>
      </c>
      <c r="Q22" s="201">
        <v>1000000</v>
      </c>
      <c r="R22" s="201">
        <v>990931</v>
      </c>
      <c r="S22" s="201">
        <v>1000000</v>
      </c>
      <c r="T22" s="201"/>
      <c r="U22" s="403"/>
      <c r="V22" s="351"/>
    </row>
    <row r="23" spans="1:22" s="59" customFormat="1" ht="15.75" customHeight="1" outlineLevel="2" x14ac:dyDescent="0.25">
      <c r="A23" s="209">
        <v>3319</v>
      </c>
      <c r="B23" s="209">
        <v>5221</v>
      </c>
      <c r="C23" s="209">
        <v>2040</v>
      </c>
      <c r="D23" s="209">
        <v>42927</v>
      </c>
      <c r="E23" s="209">
        <v>0</v>
      </c>
      <c r="F23" s="210">
        <v>0</v>
      </c>
      <c r="G23" s="209">
        <v>0</v>
      </c>
      <c r="H23" s="209">
        <v>0</v>
      </c>
      <c r="I23" s="209">
        <v>0</v>
      </c>
      <c r="J23" s="324" t="str">
        <f t="shared" si="3"/>
        <v>3319/5221/2040/42927/0/0/0/0/0</v>
      </c>
      <c r="K23" s="324" t="s">
        <v>413</v>
      </c>
      <c r="L23" s="206">
        <v>50000</v>
      </c>
      <c r="M23" s="206">
        <v>131000</v>
      </c>
      <c r="N23" s="206">
        <v>27000</v>
      </c>
      <c r="O23" s="206">
        <v>27000</v>
      </c>
      <c r="P23" s="206">
        <v>22000</v>
      </c>
      <c r="Q23" s="206">
        <v>22000</v>
      </c>
      <c r="R23" s="206">
        <v>22000</v>
      </c>
      <c r="S23" s="206">
        <v>30000</v>
      </c>
      <c r="T23" s="206"/>
      <c r="U23" s="531"/>
      <c r="V23" s="351"/>
    </row>
    <row r="24" spans="1:22" s="59" customFormat="1" ht="15.75" customHeight="1" outlineLevel="2" x14ac:dyDescent="0.25">
      <c r="A24" s="216">
        <v>3319</v>
      </c>
      <c r="B24" s="216">
        <v>5222</v>
      </c>
      <c r="C24" s="216">
        <v>2040</v>
      </c>
      <c r="D24" s="216">
        <v>42085</v>
      </c>
      <c r="E24" s="216">
        <v>0</v>
      </c>
      <c r="F24" s="216">
        <v>0</v>
      </c>
      <c r="G24" s="216">
        <v>0</v>
      </c>
      <c r="H24" s="216">
        <v>0</v>
      </c>
      <c r="I24" s="216">
        <v>0</v>
      </c>
      <c r="J24" s="322" t="str">
        <f t="shared" si="3"/>
        <v>3319/5222/2040/42085/0/0/0/0/0</v>
      </c>
      <c r="K24" s="322" t="s">
        <v>414</v>
      </c>
      <c r="L24" s="345"/>
      <c r="M24" s="345"/>
      <c r="N24" s="345">
        <v>6000</v>
      </c>
      <c r="O24" s="345">
        <v>10000</v>
      </c>
      <c r="P24" s="345">
        <v>10000</v>
      </c>
      <c r="Q24" s="345">
        <v>10000</v>
      </c>
      <c r="R24" s="345">
        <v>10000</v>
      </c>
      <c r="S24" s="345">
        <v>14000</v>
      </c>
      <c r="T24" s="345"/>
      <c r="U24" s="531"/>
      <c r="V24" s="351"/>
    </row>
    <row r="25" spans="1:22" s="59" customFormat="1" ht="15.75" customHeight="1" outlineLevel="2" x14ac:dyDescent="0.25">
      <c r="A25" s="210">
        <v>3312</v>
      </c>
      <c r="B25" s="210">
        <v>5222</v>
      </c>
      <c r="C25" s="210">
        <v>2040</v>
      </c>
      <c r="D25" s="209">
        <v>42607</v>
      </c>
      <c r="E25" s="209">
        <v>0</v>
      </c>
      <c r="F25" s="210">
        <v>0</v>
      </c>
      <c r="G25" s="209">
        <v>0</v>
      </c>
      <c r="H25" s="209">
        <v>0</v>
      </c>
      <c r="I25" s="209">
        <v>0</v>
      </c>
      <c r="J25" s="324" t="str">
        <f t="shared" si="3"/>
        <v>3312/5222/2040/42607/0/0/0/0/0</v>
      </c>
      <c r="K25" s="324" t="s">
        <v>415</v>
      </c>
      <c r="L25" s="206">
        <v>50000</v>
      </c>
      <c r="M25" s="206">
        <v>50000</v>
      </c>
      <c r="N25" s="206">
        <v>30000</v>
      </c>
      <c r="O25" s="206">
        <v>30000</v>
      </c>
      <c r="P25" s="206">
        <v>28000</v>
      </c>
      <c r="Q25" s="206">
        <v>28000</v>
      </c>
      <c r="R25" s="206">
        <v>28000</v>
      </c>
      <c r="S25" s="206">
        <v>30000</v>
      </c>
      <c r="T25" s="206"/>
      <c r="U25" s="531"/>
      <c r="V25" s="351"/>
    </row>
    <row r="26" spans="1:22" s="59" customFormat="1" ht="15.75" customHeight="1" outlineLevel="2" x14ac:dyDescent="0.25">
      <c r="A26" s="193">
        <v>3319</v>
      </c>
      <c r="B26" s="193">
        <v>5169</v>
      </c>
      <c r="C26" s="193">
        <v>2040</v>
      </c>
      <c r="D26" s="193">
        <v>0</v>
      </c>
      <c r="E26" s="193">
        <v>0</v>
      </c>
      <c r="F26" s="193">
        <v>0</v>
      </c>
      <c r="G26" s="193">
        <v>0</v>
      </c>
      <c r="H26" s="193">
        <v>10</v>
      </c>
      <c r="I26" s="193">
        <v>0</v>
      </c>
      <c r="J26" s="321" t="str">
        <f t="shared" si="3"/>
        <v>3319/5169/2040/0/0/0/0/10/0</v>
      </c>
      <c r="K26" s="321" t="s">
        <v>5006</v>
      </c>
      <c r="L26" s="201"/>
      <c r="M26" s="201"/>
      <c r="N26" s="201"/>
      <c r="O26" s="201"/>
      <c r="P26" s="201"/>
      <c r="Q26" s="201"/>
      <c r="R26" s="201"/>
      <c r="S26" s="201">
        <v>30000</v>
      </c>
      <c r="T26" s="201"/>
      <c r="U26" s="403" t="s">
        <v>5007</v>
      </c>
      <c r="V26" s="351"/>
    </row>
    <row r="27" spans="1:22" s="59" customFormat="1" outlineLevel="2" x14ac:dyDescent="0.25">
      <c r="A27" s="208">
        <v>3319</v>
      </c>
      <c r="B27" s="208">
        <v>5222</v>
      </c>
      <c r="C27" s="208">
        <v>2040</v>
      </c>
      <c r="D27" s="208">
        <v>0</v>
      </c>
      <c r="E27" s="208">
        <v>0</v>
      </c>
      <c r="F27" s="438">
        <v>0</v>
      </c>
      <c r="G27" s="208">
        <v>0</v>
      </c>
      <c r="H27" s="208">
        <v>1</v>
      </c>
      <c r="I27" s="208">
        <v>0</v>
      </c>
      <c r="J27" s="321" t="str">
        <f t="shared" si="3"/>
        <v>3319/5222/2040/0/0/0/0/1/0</v>
      </c>
      <c r="K27" s="325" t="s">
        <v>4784</v>
      </c>
      <c r="L27" s="347"/>
      <c r="M27" s="347"/>
      <c r="N27" s="347"/>
      <c r="O27" s="347"/>
      <c r="P27" s="347"/>
      <c r="Q27" s="347"/>
      <c r="R27" s="347"/>
      <c r="S27" s="347">
        <v>30000</v>
      </c>
      <c r="T27" s="347"/>
      <c r="U27" s="530"/>
      <c r="V27" s="351"/>
    </row>
    <row r="28" spans="1:22" s="59" customFormat="1" outlineLevel="2" x14ac:dyDescent="0.25">
      <c r="A28" s="208">
        <v>3314</v>
      </c>
      <c r="B28" s="208">
        <v>5336</v>
      </c>
      <c r="C28" s="208">
        <v>2040</v>
      </c>
      <c r="D28" s="208">
        <v>52584</v>
      </c>
      <c r="E28" s="208">
        <v>0</v>
      </c>
      <c r="F28" s="438">
        <v>34070</v>
      </c>
      <c r="G28" s="208">
        <v>0</v>
      </c>
      <c r="H28" s="208">
        <v>44</v>
      </c>
      <c r="I28" s="208">
        <v>0</v>
      </c>
      <c r="J28" s="325" t="str">
        <f t="shared" si="3"/>
        <v>3314/5336/2040/52584/0/34070/0/44/0</v>
      </c>
      <c r="K28" s="325" t="s">
        <v>3727</v>
      </c>
      <c r="L28" s="347">
        <v>2986413</v>
      </c>
      <c r="M28" s="347">
        <v>3670527.17</v>
      </c>
      <c r="N28" s="347">
        <v>3884973.41</v>
      </c>
      <c r="O28" s="347">
        <v>1205189.1800000002</v>
      </c>
      <c r="P28" s="347">
        <v>4042563.9099999997</v>
      </c>
      <c r="Q28" s="347"/>
      <c r="R28" s="347">
        <v>77000</v>
      </c>
      <c r="S28" s="347"/>
      <c r="T28" s="347"/>
      <c r="U28" s="530"/>
      <c r="V28" s="351"/>
    </row>
    <row r="29" spans="1:22" s="59" customFormat="1" outlineLevel="2" x14ac:dyDescent="0.25">
      <c r="A29" s="208">
        <v>3314</v>
      </c>
      <c r="B29" s="208">
        <v>5331</v>
      </c>
      <c r="C29" s="208">
        <v>2040</v>
      </c>
      <c r="D29" s="208">
        <v>52584</v>
      </c>
      <c r="E29" s="208">
        <v>0</v>
      </c>
      <c r="F29" s="438">
        <v>0</v>
      </c>
      <c r="G29" s="208">
        <v>0</v>
      </c>
      <c r="H29" s="208">
        <v>0</v>
      </c>
      <c r="I29" s="208">
        <v>0</v>
      </c>
      <c r="J29" s="325" t="str">
        <f t="shared" si="3"/>
        <v>3314/5331/2040/52584/0/0/0/0/0</v>
      </c>
      <c r="K29" s="325" t="s">
        <v>3822</v>
      </c>
      <c r="L29" s="347">
        <v>8784000</v>
      </c>
      <c r="M29" s="347">
        <v>8912000</v>
      </c>
      <c r="N29" s="347">
        <v>9250000</v>
      </c>
      <c r="O29" s="347">
        <v>8777000</v>
      </c>
      <c r="P29" s="347">
        <v>12054310</v>
      </c>
      <c r="Q29" s="347">
        <f>13314000+654000</f>
        <v>13968000</v>
      </c>
      <c r="R29" s="347">
        <v>13968000</v>
      </c>
      <c r="S29" s="347">
        <v>12305860</v>
      </c>
      <c r="T29" s="347">
        <v>251140</v>
      </c>
      <c r="U29" s="530" t="s">
        <v>4788</v>
      </c>
      <c r="V29" s="351"/>
    </row>
    <row r="30" spans="1:22" s="59" customFormat="1" outlineLevel="2" x14ac:dyDescent="0.25">
      <c r="A30" s="304">
        <v>3314</v>
      </c>
      <c r="B30" s="304">
        <v>5336</v>
      </c>
      <c r="C30" s="304">
        <v>2040</v>
      </c>
      <c r="D30" s="304">
        <v>52584</v>
      </c>
      <c r="E30" s="304">
        <v>0</v>
      </c>
      <c r="F30" s="304">
        <v>603</v>
      </c>
      <c r="G30" s="304">
        <v>0</v>
      </c>
      <c r="H30" s="304">
        <v>44</v>
      </c>
      <c r="I30" s="304">
        <v>0</v>
      </c>
      <c r="J30" s="326" t="str">
        <f t="shared" si="3"/>
        <v>3314/5336/2040/52584/0/603/0/44/0</v>
      </c>
      <c r="K30" s="326" t="s">
        <v>5052</v>
      </c>
      <c r="L30" s="348"/>
      <c r="M30" s="348"/>
      <c r="N30" s="348"/>
      <c r="O30" s="348">
        <v>2611000</v>
      </c>
      <c r="P30" s="348">
        <v>2677400</v>
      </c>
      <c r="Q30" s="348"/>
      <c r="R30" s="348">
        <v>3102000</v>
      </c>
      <c r="S30" s="348"/>
      <c r="T30" s="348"/>
      <c r="U30" s="530"/>
      <c r="V30" s="351"/>
    </row>
    <row r="31" spans="1:22" ht="15.75" customHeight="1" outlineLevel="2" x14ac:dyDescent="0.25">
      <c r="A31" s="193">
        <v>3312</v>
      </c>
      <c r="B31" s="193">
        <v>5169</v>
      </c>
      <c r="C31" s="193">
        <v>2040</v>
      </c>
      <c r="D31" s="193">
        <v>52620</v>
      </c>
      <c r="E31" s="193">
        <v>0</v>
      </c>
      <c r="F31" s="194">
        <v>0</v>
      </c>
      <c r="G31" s="193">
        <v>0</v>
      </c>
      <c r="H31" s="193">
        <v>0</v>
      </c>
      <c r="I31" s="193">
        <v>0</v>
      </c>
      <c r="J31" s="321" t="str">
        <f t="shared" si="3"/>
        <v>3312/5169/2040/52620/0/0/0/0/0</v>
      </c>
      <c r="K31" s="321" t="s">
        <v>416</v>
      </c>
      <c r="L31" s="201">
        <v>30728</v>
      </c>
      <c r="M31" s="201">
        <v>747295.72</v>
      </c>
      <c r="N31" s="201">
        <v>60637</v>
      </c>
      <c r="O31" s="201">
        <v>58027</v>
      </c>
      <c r="P31" s="201">
        <v>785376.04</v>
      </c>
      <c r="Q31" s="201">
        <v>50000</v>
      </c>
      <c r="R31" s="201">
        <v>50000</v>
      </c>
      <c r="S31" s="201">
        <v>500000</v>
      </c>
      <c r="T31" s="201"/>
      <c r="U31" s="403"/>
    </row>
    <row r="32" spans="1:22" outlineLevel="2" x14ac:dyDescent="0.25">
      <c r="A32" s="209">
        <v>3319</v>
      </c>
      <c r="B32" s="209">
        <v>5222</v>
      </c>
      <c r="C32" s="209">
        <v>2040</v>
      </c>
      <c r="D32" s="209">
        <v>42018</v>
      </c>
      <c r="E32" s="209">
        <v>0</v>
      </c>
      <c r="F32" s="210">
        <v>0</v>
      </c>
      <c r="G32" s="209">
        <v>0</v>
      </c>
      <c r="H32" s="209">
        <v>0</v>
      </c>
      <c r="I32" s="209">
        <v>0</v>
      </c>
      <c r="J32" s="324" t="str">
        <f t="shared" si="3"/>
        <v>3319/5222/2040/42018/0/0/0/0/0</v>
      </c>
      <c r="K32" s="324" t="s">
        <v>417</v>
      </c>
      <c r="L32" s="206">
        <v>420000</v>
      </c>
      <c r="M32" s="206">
        <v>420080</v>
      </c>
      <c r="N32" s="206">
        <v>420080</v>
      </c>
      <c r="O32" s="206">
        <v>420000</v>
      </c>
      <c r="P32" s="206">
        <v>463000</v>
      </c>
      <c r="Q32" s="206">
        <v>463000</v>
      </c>
      <c r="R32" s="206">
        <v>463000</v>
      </c>
      <c r="S32" s="206">
        <v>470400</v>
      </c>
      <c r="T32" s="206">
        <v>9600</v>
      </c>
      <c r="U32" s="531" t="s">
        <v>5008</v>
      </c>
    </row>
    <row r="33" spans="1:22" outlineLevel="2" x14ac:dyDescent="0.25">
      <c r="A33" s="208">
        <v>3311</v>
      </c>
      <c r="B33" s="208">
        <v>5331</v>
      </c>
      <c r="C33" s="208">
        <v>2040</v>
      </c>
      <c r="D33" s="208">
        <v>52514</v>
      </c>
      <c r="E33" s="208">
        <v>0</v>
      </c>
      <c r="F33" s="438">
        <v>0</v>
      </c>
      <c r="G33" s="208">
        <v>0</v>
      </c>
      <c r="H33" s="208">
        <v>0</v>
      </c>
      <c r="I33" s="208">
        <v>0</v>
      </c>
      <c r="J33" s="325" t="str">
        <f t="shared" si="3"/>
        <v>3311/5331/2040/52514/0/0/0/0/0</v>
      </c>
      <c r="K33" s="325" t="s">
        <v>3697</v>
      </c>
      <c r="L33" s="347">
        <v>5960000</v>
      </c>
      <c r="M33" s="347">
        <v>6500000</v>
      </c>
      <c r="N33" s="347">
        <v>6550000</v>
      </c>
      <c r="O33" s="347">
        <v>6061500</v>
      </c>
      <c r="P33" s="347">
        <v>6603669</v>
      </c>
      <c r="Q33" s="347">
        <f>7119000+752800</f>
        <v>7871800</v>
      </c>
      <c r="R33" s="347">
        <v>7871800</v>
      </c>
      <c r="S33" s="347">
        <v>7350000</v>
      </c>
      <c r="T33" s="347">
        <v>150000</v>
      </c>
      <c r="U33" s="530" t="s">
        <v>4785</v>
      </c>
    </row>
    <row r="34" spans="1:22" outlineLevel="2" x14ac:dyDescent="0.25">
      <c r="A34" s="193">
        <v>3315</v>
      </c>
      <c r="B34" s="193">
        <v>5169</v>
      </c>
      <c r="C34" s="193">
        <v>2040</v>
      </c>
      <c r="D34" s="193">
        <v>0</v>
      </c>
      <c r="E34" s="193">
        <v>0</v>
      </c>
      <c r="F34" s="193">
        <v>0</v>
      </c>
      <c r="G34" s="193">
        <v>0</v>
      </c>
      <c r="H34" s="193">
        <v>3</v>
      </c>
      <c r="I34" s="193">
        <v>0</v>
      </c>
      <c r="J34" s="321" t="str">
        <f t="shared" si="3"/>
        <v>3315/5169/2040/0/0/0/0/3/0</v>
      </c>
      <c r="K34" s="321" t="s">
        <v>4800</v>
      </c>
      <c r="L34" s="201"/>
      <c r="M34" s="201"/>
      <c r="N34" s="201"/>
      <c r="O34" s="201"/>
      <c r="P34" s="201"/>
      <c r="Q34" s="201"/>
      <c r="R34" s="201"/>
      <c r="S34" s="201">
        <v>30000</v>
      </c>
      <c r="T34" s="201"/>
      <c r="U34" s="403"/>
    </row>
    <row r="35" spans="1:22" ht="30" outlineLevel="2" x14ac:dyDescent="0.25">
      <c r="A35" s="209">
        <v>3322</v>
      </c>
      <c r="B35" s="209">
        <v>5221</v>
      </c>
      <c r="C35" s="209">
        <v>2040</v>
      </c>
      <c r="D35" s="209">
        <v>42655</v>
      </c>
      <c r="E35" s="209">
        <v>0</v>
      </c>
      <c r="F35" s="210">
        <v>0</v>
      </c>
      <c r="G35" s="209">
        <v>0</v>
      </c>
      <c r="H35" s="209">
        <v>0</v>
      </c>
      <c r="I35" s="209">
        <v>0</v>
      </c>
      <c r="J35" s="324" t="str">
        <f t="shared" si="3"/>
        <v>3322/5221/2040/42655/0/0/0/0/0</v>
      </c>
      <c r="K35" s="324" t="s">
        <v>418</v>
      </c>
      <c r="L35" s="206">
        <v>1330000</v>
      </c>
      <c r="M35" s="206">
        <v>1510000</v>
      </c>
      <c r="N35" s="206">
        <v>1470000</v>
      </c>
      <c r="O35" s="206">
        <v>1260000</v>
      </c>
      <c r="P35" s="206">
        <v>1735000</v>
      </c>
      <c r="Q35" s="206">
        <f>1741500+118500</f>
        <v>1860000</v>
      </c>
      <c r="R35" s="206">
        <v>1860000</v>
      </c>
      <c r="S35" s="206">
        <v>2127580</v>
      </c>
      <c r="T35" s="206">
        <v>43420</v>
      </c>
      <c r="U35" s="531" t="s">
        <v>4783</v>
      </c>
    </row>
    <row r="36" spans="1:22" outlineLevel="2" x14ac:dyDescent="0.25">
      <c r="A36" s="209">
        <v>3322</v>
      </c>
      <c r="B36" s="209">
        <v>5901</v>
      </c>
      <c r="C36" s="209">
        <v>2040</v>
      </c>
      <c r="D36" s="209">
        <v>42655</v>
      </c>
      <c r="E36" s="209">
        <v>0</v>
      </c>
      <c r="F36" s="210">
        <v>0</v>
      </c>
      <c r="G36" s="209">
        <v>0</v>
      </c>
      <c r="H36" s="209">
        <v>0</v>
      </c>
      <c r="I36" s="209">
        <v>0</v>
      </c>
      <c r="J36" s="324" t="str">
        <f t="shared" si="3"/>
        <v>3322/5901/2040/42655/0/0/0/0/0</v>
      </c>
      <c r="K36" s="324" t="s">
        <v>5010</v>
      </c>
      <c r="L36" s="206"/>
      <c r="M36" s="206"/>
      <c r="N36" s="206"/>
      <c r="O36" s="206"/>
      <c r="P36" s="206"/>
      <c r="Q36" s="206"/>
      <c r="R36" s="206"/>
      <c r="S36" s="206"/>
      <c r="T36" s="206">
        <v>150000</v>
      </c>
      <c r="U36" s="531" t="s">
        <v>4810</v>
      </c>
    </row>
    <row r="37" spans="1:22" outlineLevel="2" x14ac:dyDescent="0.25">
      <c r="A37" s="193">
        <v>3319</v>
      </c>
      <c r="B37" s="193">
        <v>5169</v>
      </c>
      <c r="C37" s="193">
        <v>2040</v>
      </c>
      <c r="D37" s="193">
        <v>0</v>
      </c>
      <c r="E37" s="193">
        <v>0</v>
      </c>
      <c r="F37" s="193">
        <v>0</v>
      </c>
      <c r="G37" s="193">
        <v>0</v>
      </c>
      <c r="H37" s="193">
        <v>4</v>
      </c>
      <c r="I37" s="193">
        <v>0</v>
      </c>
      <c r="J37" s="321" t="str">
        <f t="shared" si="3"/>
        <v>3319/5169/2040/0/0/0/0/4/0</v>
      </c>
      <c r="K37" s="321" t="s">
        <v>4801</v>
      </c>
      <c r="L37" s="201"/>
      <c r="M37" s="201"/>
      <c r="N37" s="201"/>
      <c r="O37" s="201"/>
      <c r="P37" s="201"/>
      <c r="Q37" s="201"/>
      <c r="R37" s="201"/>
      <c r="S37" s="201">
        <v>30000</v>
      </c>
      <c r="T37" s="201"/>
      <c r="U37" s="403"/>
    </row>
    <row r="38" spans="1:22" s="59" customFormat="1" outlineLevel="2" x14ac:dyDescent="0.25">
      <c r="A38" s="193">
        <v>3319</v>
      </c>
      <c r="B38" s="193">
        <v>5169</v>
      </c>
      <c r="C38" s="193">
        <v>2040</v>
      </c>
      <c r="D38" s="193">
        <v>52623</v>
      </c>
      <c r="E38" s="193">
        <v>0</v>
      </c>
      <c r="F38" s="194">
        <v>0</v>
      </c>
      <c r="G38" s="193">
        <v>0</v>
      </c>
      <c r="H38" s="193">
        <v>0</v>
      </c>
      <c r="I38" s="193">
        <v>0</v>
      </c>
      <c r="J38" s="321" t="str">
        <f t="shared" si="3"/>
        <v>3319/5169/2040/52623/0/0/0/0/0</v>
      </c>
      <c r="K38" s="321" t="s">
        <v>419</v>
      </c>
      <c r="L38" s="201">
        <v>99315.4</v>
      </c>
      <c r="M38" s="201">
        <f>176389.5+19500+3050</f>
        <v>198939.5</v>
      </c>
      <c r="N38" s="201">
        <v>90456.6</v>
      </c>
      <c r="O38" s="201">
        <v>4235</v>
      </c>
      <c r="P38" s="201">
        <v>56313</v>
      </c>
      <c r="Q38" s="201">
        <v>65000</v>
      </c>
      <c r="R38" s="201">
        <v>70895</v>
      </c>
      <c r="S38" s="201">
        <v>110000</v>
      </c>
      <c r="T38" s="201"/>
      <c r="U38" s="403"/>
      <c r="V38" s="351"/>
    </row>
    <row r="39" spans="1:22" outlineLevel="2" x14ac:dyDescent="0.25">
      <c r="A39" s="209">
        <v>3311</v>
      </c>
      <c r="B39" s="209">
        <v>5222</v>
      </c>
      <c r="C39" s="209">
        <v>2040</v>
      </c>
      <c r="D39" s="209">
        <v>42006</v>
      </c>
      <c r="E39" s="209">
        <v>0</v>
      </c>
      <c r="F39" s="210">
        <v>0</v>
      </c>
      <c r="G39" s="209">
        <v>0</v>
      </c>
      <c r="H39" s="209">
        <v>0</v>
      </c>
      <c r="I39" s="209">
        <v>0</v>
      </c>
      <c r="J39" s="324" t="str">
        <f t="shared" si="3"/>
        <v>3311/5222/2040/42006/0/0/0/0/0</v>
      </c>
      <c r="K39" s="324" t="s">
        <v>4449</v>
      </c>
      <c r="L39" s="206">
        <v>50000</v>
      </c>
      <c r="M39" s="206">
        <v>50000</v>
      </c>
      <c r="N39" s="206">
        <v>30000</v>
      </c>
      <c r="O39" s="206">
        <v>30000</v>
      </c>
      <c r="P39" s="206">
        <v>28000</v>
      </c>
      <c r="Q39" s="206">
        <v>28000</v>
      </c>
      <c r="R39" s="206">
        <v>28000</v>
      </c>
      <c r="S39" s="206">
        <v>30000</v>
      </c>
      <c r="T39" s="206"/>
      <c r="U39" s="531"/>
    </row>
    <row r="40" spans="1:22" outlineLevel="2" x14ac:dyDescent="0.25">
      <c r="A40" s="477">
        <v>2510</v>
      </c>
      <c r="B40" s="477">
        <v>5219</v>
      </c>
      <c r="C40" s="477">
        <v>2040</v>
      </c>
      <c r="D40" s="477">
        <v>0</v>
      </c>
      <c r="E40" s="477">
        <v>0</v>
      </c>
      <c r="F40" s="477">
        <v>0</v>
      </c>
      <c r="G40" s="477">
        <v>0</v>
      </c>
      <c r="H40" s="477">
        <v>0</v>
      </c>
      <c r="I40" s="477">
        <v>0</v>
      </c>
      <c r="J40" s="324" t="str">
        <f t="shared" si="3"/>
        <v>2510/5219/2040/0/0/0/0/0/0</v>
      </c>
      <c r="K40" s="478" t="s">
        <v>4698</v>
      </c>
      <c r="L40" s="206"/>
      <c r="M40" s="206"/>
      <c r="N40" s="206"/>
      <c r="O40" s="206"/>
      <c r="P40" s="206"/>
      <c r="Q40" s="206"/>
      <c r="R40" s="206">
        <v>4100</v>
      </c>
      <c r="S40" s="206"/>
      <c r="T40" s="206"/>
      <c r="U40" s="531"/>
    </row>
    <row r="41" spans="1:22" outlineLevel="2" x14ac:dyDescent="0.25">
      <c r="A41" s="193">
        <v>3319</v>
      </c>
      <c r="B41" s="193">
        <v>5169</v>
      </c>
      <c r="C41" s="193">
        <v>2040</v>
      </c>
      <c r="D41" s="194">
        <v>66001</v>
      </c>
      <c r="E41" s="194">
        <v>0</v>
      </c>
      <c r="F41" s="194">
        <v>0</v>
      </c>
      <c r="G41" s="194">
        <v>0</v>
      </c>
      <c r="H41" s="194">
        <v>0</v>
      </c>
      <c r="I41" s="194">
        <v>0</v>
      </c>
      <c r="J41" s="320" t="str">
        <f t="shared" si="3"/>
        <v>3319/5169/2040/66001/0/0/0/0/0</v>
      </c>
      <c r="K41" s="320" t="s">
        <v>4450</v>
      </c>
      <c r="L41" s="201">
        <v>29599</v>
      </c>
      <c r="M41" s="201">
        <v>66358</v>
      </c>
      <c r="N41" s="201"/>
      <c r="O41" s="201"/>
      <c r="P41" s="201">
        <v>58500</v>
      </c>
      <c r="Q41" s="201">
        <v>50000</v>
      </c>
      <c r="R41" s="201">
        <v>50000</v>
      </c>
      <c r="S41" s="201">
        <v>100000</v>
      </c>
      <c r="T41" s="201"/>
      <c r="U41" s="403"/>
    </row>
    <row r="42" spans="1:22" outlineLevel="2" x14ac:dyDescent="0.25">
      <c r="A42" s="194">
        <v>3319</v>
      </c>
      <c r="B42" s="194">
        <v>5169</v>
      </c>
      <c r="C42" s="194">
        <v>2040</v>
      </c>
      <c r="D42" s="193">
        <v>66623</v>
      </c>
      <c r="E42" s="193">
        <v>0</v>
      </c>
      <c r="F42" s="194">
        <v>0</v>
      </c>
      <c r="G42" s="193">
        <v>0</v>
      </c>
      <c r="H42" s="193">
        <v>0</v>
      </c>
      <c r="I42" s="193">
        <v>0</v>
      </c>
      <c r="J42" s="321" t="str">
        <f t="shared" si="3"/>
        <v>3319/5169/2040/66623/0/0/0/0/0</v>
      </c>
      <c r="K42" s="321" t="s">
        <v>3852</v>
      </c>
      <c r="L42" s="201">
        <v>425531.69999999995</v>
      </c>
      <c r="M42" s="201">
        <v>499742.51</v>
      </c>
      <c r="N42" s="201">
        <v>205153.25</v>
      </c>
      <c r="O42" s="201">
        <v>590334.55000000005</v>
      </c>
      <c r="P42" s="201">
        <v>437271.38</v>
      </c>
      <c r="Q42" s="201">
        <v>130000</v>
      </c>
      <c r="R42" s="201">
        <v>324859</v>
      </c>
      <c r="S42" s="201">
        <v>120840</v>
      </c>
      <c r="T42" s="201">
        <v>160000</v>
      </c>
      <c r="U42" s="403" t="s">
        <v>5009</v>
      </c>
    </row>
    <row r="43" spans="1:22" outlineLevel="2" x14ac:dyDescent="0.25">
      <c r="A43" s="193">
        <v>3319</v>
      </c>
      <c r="B43" s="193">
        <v>5169</v>
      </c>
      <c r="C43" s="193">
        <v>2040</v>
      </c>
      <c r="D43" s="193">
        <v>0</v>
      </c>
      <c r="E43" s="193">
        <v>0</v>
      </c>
      <c r="F43" s="193">
        <v>0</v>
      </c>
      <c r="G43" s="193">
        <v>0</v>
      </c>
      <c r="H43" s="193">
        <v>8</v>
      </c>
      <c r="I43" s="193">
        <v>0</v>
      </c>
      <c r="J43" s="321" t="str">
        <f t="shared" si="3"/>
        <v>3319/5169/2040/0/0/0/0/8/0</v>
      </c>
      <c r="K43" s="321" t="s">
        <v>4803</v>
      </c>
      <c r="L43" s="201"/>
      <c r="M43" s="201"/>
      <c r="N43" s="201"/>
      <c r="O43" s="201"/>
      <c r="P43" s="201"/>
      <c r="Q43" s="201"/>
      <c r="R43" s="201"/>
      <c r="S43" s="201"/>
      <c r="T43" s="201">
        <v>10000</v>
      </c>
      <c r="U43" s="403"/>
    </row>
    <row r="44" spans="1:22" outlineLevel="2" x14ac:dyDescent="0.25">
      <c r="A44" s="193">
        <v>3319</v>
      </c>
      <c r="B44" s="193">
        <v>5169</v>
      </c>
      <c r="C44" s="193">
        <v>2040</v>
      </c>
      <c r="D44" s="193">
        <v>66004</v>
      </c>
      <c r="E44" s="193">
        <v>0</v>
      </c>
      <c r="F44" s="194">
        <v>0</v>
      </c>
      <c r="G44" s="193">
        <v>0</v>
      </c>
      <c r="H44" s="193">
        <v>0</v>
      </c>
      <c r="I44" s="193">
        <v>0</v>
      </c>
      <c r="J44" s="321" t="str">
        <f t="shared" si="3"/>
        <v>3319/5169/2040/66004/0/0/0/0/0</v>
      </c>
      <c r="K44" s="321" t="s">
        <v>4391</v>
      </c>
      <c r="L44" s="201"/>
      <c r="M44" s="201"/>
      <c r="N44" s="201"/>
      <c r="O44" s="201"/>
      <c r="P44" s="201">
        <v>108809.8</v>
      </c>
      <c r="Q44" s="201">
        <v>100000</v>
      </c>
      <c r="R44" s="201">
        <v>100000</v>
      </c>
      <c r="S44" s="201">
        <v>150000</v>
      </c>
      <c r="T44" s="201"/>
      <c r="U44" s="403"/>
    </row>
    <row r="45" spans="1:22" outlineLevel="2" x14ac:dyDescent="0.25">
      <c r="A45" s="210">
        <v>3900</v>
      </c>
      <c r="B45" s="210">
        <v>5222</v>
      </c>
      <c r="C45" s="210">
        <v>2040</v>
      </c>
      <c r="D45" s="209">
        <v>42008</v>
      </c>
      <c r="E45" s="209">
        <v>0</v>
      </c>
      <c r="F45" s="210">
        <v>0</v>
      </c>
      <c r="G45" s="209">
        <v>0</v>
      </c>
      <c r="H45" s="209">
        <v>0</v>
      </c>
      <c r="I45" s="209">
        <v>0</v>
      </c>
      <c r="J45" s="324" t="str">
        <f t="shared" si="3"/>
        <v>3900/5222/2040/42008/0/0/0/0/0</v>
      </c>
      <c r="K45" s="324" t="s">
        <v>4458</v>
      </c>
      <c r="L45" s="206">
        <v>50000</v>
      </c>
      <c r="M45" s="206">
        <v>50000</v>
      </c>
      <c r="N45" s="206">
        <v>27000</v>
      </c>
      <c r="O45" s="206">
        <v>27000</v>
      </c>
      <c r="P45" s="206">
        <v>20000</v>
      </c>
      <c r="Q45" s="206">
        <v>20000</v>
      </c>
      <c r="R45" s="206">
        <v>20000</v>
      </c>
      <c r="S45" s="206">
        <v>30000</v>
      </c>
      <c r="T45" s="206"/>
      <c r="U45" s="531"/>
    </row>
    <row r="46" spans="1:22" outlineLevel="2" x14ac:dyDescent="0.25">
      <c r="A46" s="193">
        <v>3319</v>
      </c>
      <c r="B46" s="193">
        <v>5169</v>
      </c>
      <c r="C46" s="193">
        <v>2040</v>
      </c>
      <c r="D46" s="193">
        <v>0</v>
      </c>
      <c r="E46" s="193">
        <v>0</v>
      </c>
      <c r="F46" s="193">
        <v>0</v>
      </c>
      <c r="G46" s="193">
        <v>0</v>
      </c>
      <c r="H46" s="193">
        <v>5</v>
      </c>
      <c r="I46" s="193">
        <v>0</v>
      </c>
      <c r="J46" s="321" t="str">
        <f t="shared" si="3"/>
        <v>3319/5169/2040/0/0/0/0/5/0</v>
      </c>
      <c r="K46" s="321" t="s">
        <v>4802</v>
      </c>
      <c r="L46" s="201"/>
      <c r="M46" s="201"/>
      <c r="N46" s="201"/>
      <c r="O46" s="201"/>
      <c r="P46" s="201"/>
      <c r="Q46" s="201"/>
      <c r="R46" s="201"/>
      <c r="S46" s="201">
        <v>50000</v>
      </c>
      <c r="T46" s="201"/>
      <c r="U46" s="403"/>
    </row>
    <row r="47" spans="1:22" outlineLevel="2" x14ac:dyDescent="0.25">
      <c r="A47" s="209">
        <v>3311</v>
      </c>
      <c r="B47" s="209">
        <v>5222</v>
      </c>
      <c r="C47" s="209">
        <v>2040</v>
      </c>
      <c r="D47" s="209">
        <v>42936</v>
      </c>
      <c r="E47" s="209">
        <v>0</v>
      </c>
      <c r="F47" s="210">
        <v>0</v>
      </c>
      <c r="G47" s="209">
        <v>0</v>
      </c>
      <c r="H47" s="209">
        <v>0</v>
      </c>
      <c r="I47" s="209">
        <v>0</v>
      </c>
      <c r="J47" s="324" t="str">
        <f t="shared" si="3"/>
        <v>3311/5222/2040/42936/0/0/0/0/0</v>
      </c>
      <c r="K47" s="324" t="s">
        <v>420</v>
      </c>
      <c r="L47" s="206">
        <v>30000</v>
      </c>
      <c r="M47" s="206">
        <v>50000</v>
      </c>
      <c r="N47" s="206">
        <v>29000</v>
      </c>
      <c r="O47" s="206">
        <v>29000</v>
      </c>
      <c r="P47" s="206">
        <v>29000</v>
      </c>
      <c r="Q47" s="206">
        <v>29000</v>
      </c>
      <c r="R47" s="206">
        <v>29000</v>
      </c>
      <c r="S47" s="206">
        <v>30000</v>
      </c>
      <c r="T47" s="206"/>
      <c r="U47" s="531"/>
    </row>
    <row r="48" spans="1:22" ht="30" outlineLevel="2" x14ac:dyDescent="0.25">
      <c r="A48" s="193">
        <v>3613</v>
      </c>
      <c r="B48" s="193">
        <v>5169</v>
      </c>
      <c r="C48" s="193">
        <v>2040</v>
      </c>
      <c r="D48" s="193">
        <v>13001</v>
      </c>
      <c r="E48" s="193">
        <v>0</v>
      </c>
      <c r="F48" s="194">
        <v>0</v>
      </c>
      <c r="G48" s="193">
        <v>0</v>
      </c>
      <c r="H48" s="193">
        <v>0</v>
      </c>
      <c r="I48" s="193">
        <v>0</v>
      </c>
      <c r="J48" s="321" t="str">
        <f t="shared" si="3"/>
        <v>3613/5169/2040/13001/0/0/0/0/0</v>
      </c>
      <c r="K48" s="321" t="s">
        <v>421</v>
      </c>
      <c r="L48" s="201">
        <v>57055.5</v>
      </c>
      <c r="M48" s="201">
        <v>23898</v>
      </c>
      <c r="N48" s="201">
        <v>20678.689999999999</v>
      </c>
      <c r="O48" s="201">
        <v>30000</v>
      </c>
      <c r="P48" s="201">
        <v>20162</v>
      </c>
      <c r="Q48" s="201">
        <v>35000</v>
      </c>
      <c r="R48" s="201">
        <v>35000</v>
      </c>
      <c r="S48" s="201">
        <v>100000</v>
      </c>
      <c r="T48" s="201"/>
      <c r="U48" s="403" t="s">
        <v>4780</v>
      </c>
    </row>
    <row r="49" spans="1:22" outlineLevel="2" x14ac:dyDescent="0.25">
      <c r="A49" s="187">
        <v>3399</v>
      </c>
      <c r="B49" s="187">
        <v>5139</v>
      </c>
      <c r="C49" s="187">
        <v>2040</v>
      </c>
      <c r="D49" s="187">
        <v>66262</v>
      </c>
      <c r="E49" s="187">
        <v>0</v>
      </c>
      <c r="F49" s="187">
        <v>0</v>
      </c>
      <c r="G49" s="187">
        <v>0</v>
      </c>
      <c r="H49" s="187">
        <v>0</v>
      </c>
      <c r="I49" s="187">
        <v>0</v>
      </c>
      <c r="J49" s="327" t="str">
        <f t="shared" si="3"/>
        <v>3399/5139/2040/66262/0/0/0/0/0</v>
      </c>
      <c r="K49" s="327" t="s">
        <v>3823</v>
      </c>
      <c r="L49" s="200">
        <v>207418</v>
      </c>
      <c r="M49" s="200">
        <f>81492.1+2000</f>
        <v>83492.100000000006</v>
      </c>
      <c r="N49" s="200">
        <v>69188</v>
      </c>
      <c r="O49" s="200">
        <v>90157</v>
      </c>
      <c r="P49" s="200">
        <v>101970</v>
      </c>
      <c r="Q49" s="200">
        <v>40000</v>
      </c>
      <c r="R49" s="200">
        <v>43174</v>
      </c>
      <c r="S49" s="200">
        <v>80000</v>
      </c>
      <c r="T49" s="200"/>
      <c r="U49" s="403"/>
    </row>
    <row r="50" spans="1:22" outlineLevel="2" x14ac:dyDescent="0.25">
      <c r="A50" s="193">
        <v>3311</v>
      </c>
      <c r="B50" s="193">
        <v>5169</v>
      </c>
      <c r="C50" s="193">
        <v>2040</v>
      </c>
      <c r="D50" s="193">
        <v>52654</v>
      </c>
      <c r="E50" s="193">
        <v>0</v>
      </c>
      <c r="F50" s="194">
        <v>0</v>
      </c>
      <c r="G50" s="193">
        <v>0</v>
      </c>
      <c r="H50" s="193">
        <v>0</v>
      </c>
      <c r="I50" s="193">
        <v>0</v>
      </c>
      <c r="J50" s="321" t="str">
        <f t="shared" si="3"/>
        <v>3311/5169/2040/52654/0/0/0/0/0</v>
      </c>
      <c r="K50" s="321" t="s">
        <v>423</v>
      </c>
      <c r="L50" s="201">
        <f>330236.6+14907</f>
        <v>345143.6</v>
      </c>
      <c r="M50" s="201">
        <f>353653+18265</f>
        <v>371918</v>
      </c>
      <c r="N50" s="201">
        <v>126303.3</v>
      </c>
      <c r="O50" s="201">
        <v>384876.95</v>
      </c>
      <c r="P50" s="201">
        <v>395416.49</v>
      </c>
      <c r="Q50" s="201">
        <v>350000</v>
      </c>
      <c r="R50" s="201">
        <v>350000</v>
      </c>
      <c r="S50" s="201">
        <v>450000</v>
      </c>
      <c r="T50" s="201"/>
      <c r="U50" s="403"/>
    </row>
    <row r="51" spans="1:22" outlineLevel="2" x14ac:dyDescent="0.25">
      <c r="A51" s="209">
        <v>3312</v>
      </c>
      <c r="B51" s="209">
        <v>5222</v>
      </c>
      <c r="C51" s="209">
        <v>2040</v>
      </c>
      <c r="D51" s="209">
        <v>42940</v>
      </c>
      <c r="E51" s="209">
        <v>0</v>
      </c>
      <c r="F51" s="210">
        <v>0</v>
      </c>
      <c r="G51" s="209">
        <v>0</v>
      </c>
      <c r="H51" s="209">
        <v>0</v>
      </c>
      <c r="I51" s="209">
        <v>0</v>
      </c>
      <c r="J51" s="324" t="str">
        <f t="shared" si="3"/>
        <v>3312/5222/2040/42940/0/0/0/0/0</v>
      </c>
      <c r="K51" s="324" t="s">
        <v>424</v>
      </c>
      <c r="L51" s="206">
        <v>50000</v>
      </c>
      <c r="M51" s="206">
        <v>50000</v>
      </c>
      <c r="N51" s="206">
        <v>29000</v>
      </c>
      <c r="O51" s="206">
        <v>29000</v>
      </c>
      <c r="P51" s="206">
        <v>28000</v>
      </c>
      <c r="Q51" s="206">
        <v>28000</v>
      </c>
      <c r="R51" s="206">
        <v>28000</v>
      </c>
      <c r="S51" s="206">
        <v>30000</v>
      </c>
      <c r="T51" s="206"/>
      <c r="U51" s="531"/>
    </row>
    <row r="52" spans="1:22" outlineLevel="2" x14ac:dyDescent="0.25">
      <c r="A52" s="193">
        <v>3315</v>
      </c>
      <c r="B52" s="193">
        <v>5169</v>
      </c>
      <c r="C52" s="193">
        <v>2040</v>
      </c>
      <c r="D52" s="193">
        <v>0</v>
      </c>
      <c r="E52" s="193">
        <v>0</v>
      </c>
      <c r="F52" s="193">
        <v>0</v>
      </c>
      <c r="G52" s="193">
        <v>0</v>
      </c>
      <c r="H52" s="193">
        <v>2</v>
      </c>
      <c r="I52" s="193">
        <v>0</v>
      </c>
      <c r="J52" s="321" t="str">
        <f t="shared" si="3"/>
        <v>3315/5169/2040/0/0/0/0/2/0</v>
      </c>
      <c r="K52" s="321" t="s">
        <v>4799</v>
      </c>
      <c r="L52" s="201"/>
      <c r="M52" s="201"/>
      <c r="N52" s="201"/>
      <c r="O52" s="201"/>
      <c r="P52" s="201"/>
      <c r="Q52" s="201"/>
      <c r="R52" s="201"/>
      <c r="S52" s="201"/>
      <c r="T52" s="201">
        <v>35000</v>
      </c>
      <c r="U52" s="555"/>
    </row>
    <row r="53" spans="1:22" outlineLevel="2" x14ac:dyDescent="0.25">
      <c r="A53" s="188">
        <v>0</v>
      </c>
      <c r="B53" s="188">
        <v>5901</v>
      </c>
      <c r="C53" s="188">
        <v>2040</v>
      </c>
      <c r="D53" s="188">
        <v>0</v>
      </c>
      <c r="E53" s="188">
        <v>0</v>
      </c>
      <c r="F53" s="439">
        <v>0</v>
      </c>
      <c r="G53" s="188">
        <v>0</v>
      </c>
      <c r="H53" s="188">
        <v>0</v>
      </c>
      <c r="I53" s="188">
        <v>0</v>
      </c>
      <c r="J53" s="329" t="str">
        <f t="shared" si="3"/>
        <v>0/5901/2040/0/0/0/0/0/0</v>
      </c>
      <c r="K53" s="329" t="s">
        <v>5053</v>
      </c>
      <c r="L53" s="350">
        <f>630000+102220+46580+10000+235435+78324</f>
        <v>1102559</v>
      </c>
      <c r="M53" s="350">
        <f>10486+100000+20000+105000+76752.8+74690+44568.45</f>
        <v>431497.25</v>
      </c>
      <c r="N53" s="350">
        <f>220000+618824.44+50000+27588.71</f>
        <v>916413.14999999991</v>
      </c>
      <c r="O53" s="350">
        <v>53305</v>
      </c>
      <c r="P53" s="350">
        <f>43612+12000+30000+37635+20000+611780.48</f>
        <v>755027.48</v>
      </c>
      <c r="Q53" s="350"/>
      <c r="R53" s="350">
        <v>70141</v>
      </c>
      <c r="S53" s="350"/>
      <c r="T53" s="350"/>
      <c r="U53" s="403"/>
    </row>
    <row r="54" spans="1:22" ht="30" outlineLevel="1" x14ac:dyDescent="0.25">
      <c r="A54" s="495"/>
      <c r="B54" s="495"/>
      <c r="C54" s="496" t="s">
        <v>4659</v>
      </c>
      <c r="D54" s="495"/>
      <c r="E54" s="495"/>
      <c r="F54" s="497"/>
      <c r="G54" s="495"/>
      <c r="H54" s="495"/>
      <c r="I54" s="495"/>
      <c r="J54" s="493">
        <v>2040</v>
      </c>
      <c r="K54" s="516" t="str">
        <f>VLOOKUP(J54,orJ_správce_telefon_mail!A:B,2,0)</f>
        <v>Odbor cestovního ruchu, školství a kultury - Oddělení školství a kultury - D. Ostřanská</v>
      </c>
      <c r="L54" s="498">
        <f t="shared" ref="L54:T54" si="4">SUBTOTAL(9,L10:L53)</f>
        <v>26331722.300000001</v>
      </c>
      <c r="M54" s="498">
        <f t="shared" si="4"/>
        <v>28929449.66</v>
      </c>
      <c r="N54" s="498">
        <f t="shared" si="4"/>
        <v>27724607.400000002</v>
      </c>
      <c r="O54" s="498">
        <f t="shared" si="4"/>
        <v>26479646.329999998</v>
      </c>
      <c r="P54" s="498">
        <f t="shared" si="4"/>
        <v>35466073.82</v>
      </c>
      <c r="Q54" s="498">
        <f t="shared" si="4"/>
        <v>30101800</v>
      </c>
      <c r="R54" s="498">
        <f t="shared" si="4"/>
        <v>33549900</v>
      </c>
      <c r="S54" s="498">
        <f t="shared" si="4"/>
        <v>30630080</v>
      </c>
      <c r="T54" s="498">
        <f t="shared" si="4"/>
        <v>1107760</v>
      </c>
      <c r="U54" s="541"/>
    </row>
    <row r="55" spans="1:22" outlineLevel="2" x14ac:dyDescent="0.25">
      <c r="A55" s="193">
        <v>2143</v>
      </c>
      <c r="B55" s="193">
        <v>5179</v>
      </c>
      <c r="C55" s="193">
        <v>2045</v>
      </c>
      <c r="D55" s="193">
        <v>42059</v>
      </c>
      <c r="E55" s="193">
        <v>0</v>
      </c>
      <c r="F55" s="194">
        <v>0</v>
      </c>
      <c r="G55" s="193">
        <v>0</v>
      </c>
      <c r="H55" s="193">
        <v>0</v>
      </c>
      <c r="I55" s="193">
        <v>0</v>
      </c>
      <c r="J55" s="321" t="str">
        <f t="shared" ref="J55:J62" si="5">CONCATENATE(A55,"/",B55,"/",C55,"/",D55,"/",E55,"/",F55,"/",G55,"/",H55,"/",I55)</f>
        <v>2143/5179/2045/42059/0/0/0/0/0</v>
      </c>
      <c r="K55" s="321" t="s">
        <v>187</v>
      </c>
      <c r="L55" s="201">
        <v>4000</v>
      </c>
      <c r="M55" s="201">
        <v>4000</v>
      </c>
      <c r="N55" s="201">
        <v>4500</v>
      </c>
      <c r="O55" s="201">
        <v>4500</v>
      </c>
      <c r="P55" s="201">
        <v>4500</v>
      </c>
      <c r="Q55" s="201">
        <v>4500</v>
      </c>
      <c r="R55" s="201">
        <v>4500</v>
      </c>
      <c r="S55" s="201">
        <v>4500</v>
      </c>
      <c r="T55" s="201"/>
      <c r="U55" s="403"/>
    </row>
    <row r="56" spans="1:22" outlineLevel="2" x14ac:dyDescent="0.25">
      <c r="A56" s="193">
        <v>2143</v>
      </c>
      <c r="B56" s="193">
        <v>5171</v>
      </c>
      <c r="C56" s="193">
        <v>2045</v>
      </c>
      <c r="D56" s="193">
        <v>18667</v>
      </c>
      <c r="E56" s="193">
        <v>0</v>
      </c>
      <c r="F56" s="194">
        <v>0</v>
      </c>
      <c r="G56" s="193">
        <v>0</v>
      </c>
      <c r="H56" s="193">
        <v>0</v>
      </c>
      <c r="I56" s="193">
        <v>0</v>
      </c>
      <c r="J56" s="321" t="str">
        <f t="shared" si="5"/>
        <v>2143/5171/2045/18667/0/0/0/0/0</v>
      </c>
      <c r="K56" s="321" t="s">
        <v>3829</v>
      </c>
      <c r="L56" s="201">
        <v>25375</v>
      </c>
      <c r="M56" s="201">
        <v>5687</v>
      </c>
      <c r="N56" s="201">
        <f>3255.3+1559</f>
        <v>4814.3</v>
      </c>
      <c r="O56" s="201">
        <v>3374</v>
      </c>
      <c r="P56" s="201">
        <v>10151</v>
      </c>
      <c r="Q56" s="201">
        <v>15000</v>
      </c>
      <c r="R56" s="201">
        <v>15000</v>
      </c>
      <c r="S56" s="201">
        <v>15000</v>
      </c>
      <c r="T56" s="201"/>
      <c r="U56" s="403"/>
    </row>
    <row r="57" spans="1:22" outlineLevel="2" x14ac:dyDescent="0.25">
      <c r="A57" s="193">
        <v>2143</v>
      </c>
      <c r="B57" s="193">
        <v>5041</v>
      </c>
      <c r="C57" s="193">
        <v>2045</v>
      </c>
      <c r="D57" s="193">
        <v>18667</v>
      </c>
      <c r="E57" s="193">
        <v>0</v>
      </c>
      <c r="F57" s="194">
        <v>0</v>
      </c>
      <c r="G57" s="193">
        <v>0</v>
      </c>
      <c r="H57" s="193">
        <v>0</v>
      </c>
      <c r="I57" s="193">
        <v>0</v>
      </c>
      <c r="J57" s="321" t="str">
        <f t="shared" si="5"/>
        <v>2143/5041/2045/18667/0/0/0/0/0</v>
      </c>
      <c r="K57" s="321" t="s">
        <v>3824</v>
      </c>
      <c r="L57" s="201">
        <v>356</v>
      </c>
      <c r="M57" s="201">
        <v>375.2</v>
      </c>
      <c r="N57" s="201">
        <v>2005.4</v>
      </c>
      <c r="O57" s="201">
        <v>3531.5899999999997</v>
      </c>
      <c r="P57" s="201">
        <v>222.8</v>
      </c>
      <c r="Q57" s="201">
        <v>500</v>
      </c>
      <c r="R57" s="201">
        <v>500</v>
      </c>
      <c r="S57" s="201">
        <v>500</v>
      </c>
      <c r="T57" s="201"/>
      <c r="U57" s="403"/>
    </row>
    <row r="58" spans="1:22" outlineLevel="2" x14ac:dyDescent="0.25">
      <c r="A58" s="193">
        <v>2143</v>
      </c>
      <c r="B58" s="193">
        <v>5139</v>
      </c>
      <c r="C58" s="193">
        <v>2045</v>
      </c>
      <c r="D58" s="193">
        <v>18667</v>
      </c>
      <c r="E58" s="193">
        <v>0</v>
      </c>
      <c r="F58" s="194">
        <v>0</v>
      </c>
      <c r="G58" s="193">
        <v>0</v>
      </c>
      <c r="H58" s="193">
        <v>0</v>
      </c>
      <c r="I58" s="193">
        <v>0</v>
      </c>
      <c r="J58" s="321" t="str">
        <f t="shared" si="5"/>
        <v>2143/5139/2045/18667/0/0/0/0/0</v>
      </c>
      <c r="K58" s="321" t="s">
        <v>3826</v>
      </c>
      <c r="L58" s="201">
        <v>13705.72</v>
      </c>
      <c r="M58" s="201">
        <v>16153.85</v>
      </c>
      <c r="N58" s="201">
        <v>4565.5200000000004</v>
      </c>
      <c r="O58" s="201">
        <f>17859.41+258695.04</f>
        <v>276554.45</v>
      </c>
      <c r="P58" s="201">
        <v>7562.07</v>
      </c>
      <c r="Q58" s="201">
        <v>30000</v>
      </c>
      <c r="R58" s="201">
        <v>30000</v>
      </c>
      <c r="S58" s="201">
        <v>30000</v>
      </c>
      <c r="T58" s="201"/>
      <c r="U58" s="403"/>
    </row>
    <row r="59" spans="1:22" outlineLevel="2" x14ac:dyDescent="0.25">
      <c r="A59" s="193">
        <v>2143</v>
      </c>
      <c r="B59" s="193">
        <v>5175</v>
      </c>
      <c r="C59" s="193">
        <v>2045</v>
      </c>
      <c r="D59" s="193">
        <v>18667</v>
      </c>
      <c r="E59" s="193">
        <v>0</v>
      </c>
      <c r="F59" s="194">
        <v>0</v>
      </c>
      <c r="G59" s="193">
        <v>0</v>
      </c>
      <c r="H59" s="193">
        <v>0</v>
      </c>
      <c r="I59" s="193">
        <v>0</v>
      </c>
      <c r="J59" s="321" t="str">
        <f t="shared" si="5"/>
        <v>2143/5175/2045/18667/0/0/0/0/0</v>
      </c>
      <c r="K59" s="321" t="s">
        <v>3828</v>
      </c>
      <c r="L59" s="201">
        <v>2628</v>
      </c>
      <c r="M59" s="201">
        <v>1939</v>
      </c>
      <c r="N59" s="201">
        <v>352</v>
      </c>
      <c r="O59" s="201">
        <v>174</v>
      </c>
      <c r="P59" s="201"/>
      <c r="Q59" s="201">
        <v>1000</v>
      </c>
      <c r="R59" s="201">
        <v>1000</v>
      </c>
      <c r="S59" s="201">
        <v>12000</v>
      </c>
      <c r="T59" s="201"/>
      <c r="U59" s="403"/>
    </row>
    <row r="60" spans="1:22" outlineLevel="2" x14ac:dyDescent="0.25">
      <c r="A60" s="193">
        <v>2143</v>
      </c>
      <c r="B60" s="193">
        <v>5169</v>
      </c>
      <c r="C60" s="193">
        <v>2045</v>
      </c>
      <c r="D60" s="193">
        <v>18667</v>
      </c>
      <c r="E60" s="193">
        <v>0</v>
      </c>
      <c r="F60" s="194">
        <v>0</v>
      </c>
      <c r="G60" s="193">
        <v>0</v>
      </c>
      <c r="H60" s="193">
        <v>0</v>
      </c>
      <c r="I60" s="193">
        <v>0</v>
      </c>
      <c r="J60" s="321" t="str">
        <f t="shared" si="5"/>
        <v>2143/5169/2045/18667/0/0/0/0/0</v>
      </c>
      <c r="K60" s="321" t="s">
        <v>3827</v>
      </c>
      <c r="L60" s="201">
        <v>13152.15</v>
      </c>
      <c r="M60" s="201">
        <f>20241+6755</f>
        <v>26996</v>
      </c>
      <c r="N60" s="201">
        <v>350</v>
      </c>
      <c r="O60" s="201">
        <v>7162</v>
      </c>
      <c r="P60" s="201">
        <v>350</v>
      </c>
      <c r="Q60" s="201">
        <v>27000</v>
      </c>
      <c r="R60" s="201">
        <v>27000</v>
      </c>
      <c r="S60" s="201">
        <v>27000</v>
      </c>
      <c r="T60" s="201"/>
      <c r="U60" s="403"/>
    </row>
    <row r="61" spans="1:22" s="60" customFormat="1" outlineLevel="2" x14ac:dyDescent="0.25">
      <c r="A61" s="193">
        <v>2143</v>
      </c>
      <c r="B61" s="193">
        <v>5138</v>
      </c>
      <c r="C61" s="193">
        <v>2045</v>
      </c>
      <c r="D61" s="193">
        <v>18667</v>
      </c>
      <c r="E61" s="193">
        <v>0</v>
      </c>
      <c r="F61" s="194">
        <v>0</v>
      </c>
      <c r="G61" s="193">
        <v>0</v>
      </c>
      <c r="H61" s="193">
        <v>0</v>
      </c>
      <c r="I61" s="193">
        <v>0</v>
      </c>
      <c r="J61" s="321" t="str">
        <f t="shared" si="5"/>
        <v>2143/5138/2045/18667/0/0/0/0/0</v>
      </c>
      <c r="K61" s="321" t="s">
        <v>3825</v>
      </c>
      <c r="L61" s="201">
        <f>648698.31+239653</f>
        <v>888351.31</v>
      </c>
      <c r="M61" s="201">
        <f>671861.46+211577</f>
        <v>883438.46</v>
      </c>
      <c r="N61" s="201">
        <f>546642.71+140680</f>
        <v>687322.71</v>
      </c>
      <c r="O61" s="201">
        <v>763239.05</v>
      </c>
      <c r="P61" s="201">
        <v>888313.54</v>
      </c>
      <c r="Q61" s="201">
        <v>1000000</v>
      </c>
      <c r="R61" s="201">
        <v>1000000</v>
      </c>
      <c r="S61" s="479">
        <v>1300000</v>
      </c>
      <c r="T61" s="454"/>
      <c r="U61" s="562" t="s">
        <v>4782</v>
      </c>
      <c r="V61" s="111"/>
    </row>
    <row r="62" spans="1:22" outlineLevel="2" x14ac:dyDescent="0.25">
      <c r="A62" s="188">
        <v>2143</v>
      </c>
      <c r="B62" s="188">
        <v>5901</v>
      </c>
      <c r="C62" s="188">
        <v>2045</v>
      </c>
      <c r="D62" s="188">
        <v>0</v>
      </c>
      <c r="E62" s="188">
        <v>0</v>
      </c>
      <c r="F62" s="439">
        <v>0</v>
      </c>
      <c r="G62" s="188">
        <v>0</v>
      </c>
      <c r="H62" s="188">
        <v>0</v>
      </c>
      <c r="I62" s="188">
        <v>0</v>
      </c>
      <c r="J62" s="329" t="str">
        <f t="shared" si="5"/>
        <v>2143/5901/2045/0/0/0/0/0/0</v>
      </c>
      <c r="K62" s="329" t="s">
        <v>190</v>
      </c>
      <c r="L62" s="481">
        <v>118291.4</v>
      </c>
      <c r="M62" s="481">
        <v>27367.91</v>
      </c>
      <c r="N62" s="481">
        <v>103397.35</v>
      </c>
      <c r="O62" s="481">
        <v>88602.02</v>
      </c>
      <c r="P62" s="481"/>
      <c r="Q62" s="481"/>
      <c r="R62" s="481"/>
      <c r="S62" s="481"/>
      <c r="T62" s="481"/>
      <c r="U62" s="543"/>
    </row>
    <row r="63" spans="1:22" ht="30" outlineLevel="1" x14ac:dyDescent="0.25">
      <c r="A63" s="495"/>
      <c r="B63" s="495"/>
      <c r="C63" s="496" t="s">
        <v>4660</v>
      </c>
      <c r="D63" s="495"/>
      <c r="E63" s="495"/>
      <c r="F63" s="497"/>
      <c r="G63" s="495"/>
      <c r="H63" s="495"/>
      <c r="I63" s="495"/>
      <c r="J63" s="493">
        <v>2045</v>
      </c>
      <c r="K63" s="516" t="str">
        <f>VLOOKUP(J63,orJ_správce_telefon_mail!A:B,2,0)</f>
        <v>Odbor cestovního ruchu, školství a kultury - Oddělení IC a  Spol. domu - pí Bucifal</v>
      </c>
      <c r="L63" s="498">
        <f t="shared" ref="L63:T63" si="6">SUBTOTAL(9,L55:L62)</f>
        <v>1065859.58</v>
      </c>
      <c r="M63" s="498">
        <f t="shared" si="6"/>
        <v>965957.42</v>
      </c>
      <c r="N63" s="498">
        <f t="shared" si="6"/>
        <v>807307.27999999991</v>
      </c>
      <c r="O63" s="498">
        <f t="shared" si="6"/>
        <v>1147137.1100000001</v>
      </c>
      <c r="P63" s="498">
        <f t="shared" si="6"/>
        <v>911099.41</v>
      </c>
      <c r="Q63" s="498">
        <f t="shared" si="6"/>
        <v>1078000</v>
      </c>
      <c r="R63" s="498">
        <f t="shared" si="6"/>
        <v>1078000</v>
      </c>
      <c r="S63" s="498">
        <f t="shared" si="6"/>
        <v>1389000</v>
      </c>
      <c r="T63" s="498">
        <f t="shared" si="6"/>
        <v>0</v>
      </c>
      <c r="U63" s="544"/>
    </row>
    <row r="64" spans="1:22" outlineLevel="2" x14ac:dyDescent="0.25">
      <c r="A64" s="193">
        <v>3113</v>
      </c>
      <c r="B64" s="193">
        <v>5169</v>
      </c>
      <c r="C64" s="193">
        <v>2047</v>
      </c>
      <c r="D64" s="193">
        <v>0</v>
      </c>
      <c r="E64" s="193">
        <v>0</v>
      </c>
      <c r="F64" s="194">
        <v>0</v>
      </c>
      <c r="G64" s="193">
        <v>0</v>
      </c>
      <c r="H64" s="193">
        <v>0</v>
      </c>
      <c r="I64" s="193">
        <v>0</v>
      </c>
      <c r="J64" s="321" t="str">
        <f t="shared" ref="J64:J81" si="7">CONCATENATE(A64,"/",B64,"/",C64,"/",D64,"/",E64,"/",F64,"/",G64,"/",H64,"/",I64)</f>
        <v>3113/5169/2047/0/0/0/0/0/0</v>
      </c>
      <c r="K64" s="321" t="s">
        <v>4790</v>
      </c>
      <c r="L64" s="201"/>
      <c r="M64" s="201"/>
      <c r="N64" s="201"/>
      <c r="O64" s="201"/>
      <c r="P64" s="201"/>
      <c r="Q64" s="201"/>
      <c r="R64" s="201"/>
      <c r="S64" s="201">
        <v>50000</v>
      </c>
      <c r="T64" s="201"/>
      <c r="U64" s="403"/>
    </row>
    <row r="65" spans="1:21" outlineLevel="2" x14ac:dyDescent="0.25">
      <c r="A65" s="209">
        <v>3119</v>
      </c>
      <c r="B65" s="209">
        <v>5222</v>
      </c>
      <c r="C65" s="209">
        <v>2047</v>
      </c>
      <c r="D65" s="209">
        <v>43003</v>
      </c>
      <c r="E65" s="209">
        <v>0</v>
      </c>
      <c r="F65" s="210">
        <v>0</v>
      </c>
      <c r="G65" s="209">
        <v>0</v>
      </c>
      <c r="H65" s="209">
        <v>0</v>
      </c>
      <c r="I65" s="209">
        <v>0</v>
      </c>
      <c r="J65" s="324" t="str">
        <f t="shared" si="7"/>
        <v>3119/5222/2047/43003/0/0/0/0/0</v>
      </c>
      <c r="K65" s="324" t="s">
        <v>425</v>
      </c>
      <c r="L65" s="206">
        <v>150000</v>
      </c>
      <c r="M65" s="206"/>
      <c r="N65" s="206"/>
      <c r="O65" s="206"/>
      <c r="P65" s="206">
        <v>150000</v>
      </c>
      <c r="Q65" s="206"/>
      <c r="R65" s="206"/>
      <c r="S65" s="206">
        <v>230000</v>
      </c>
      <c r="T65" s="206"/>
      <c r="U65" s="531" t="s">
        <v>4806</v>
      </c>
    </row>
    <row r="66" spans="1:21" outlineLevel="2" x14ac:dyDescent="0.25">
      <c r="A66" s="208" t="s">
        <v>3838</v>
      </c>
      <c r="B66" s="208">
        <v>5336</v>
      </c>
      <c r="C66" s="208">
        <v>2047</v>
      </c>
      <c r="D66" s="208">
        <v>0</v>
      </c>
      <c r="E66" s="208">
        <v>0</v>
      </c>
      <c r="F66" s="438">
        <v>999</v>
      </c>
      <c r="G66" s="208">
        <v>0</v>
      </c>
      <c r="H66" s="208">
        <v>0</v>
      </c>
      <c r="I66" s="208">
        <v>0</v>
      </c>
      <c r="J66" s="325" t="str">
        <f t="shared" si="7"/>
        <v>31xx/5336/2047/0/0/999/0/0/0</v>
      </c>
      <c r="K66" s="325" t="s">
        <v>4614</v>
      </c>
      <c r="L66" s="347">
        <f>3576753+497273.6</f>
        <v>4074026.6</v>
      </c>
      <c r="M66" s="347">
        <f>4889820+1588784.8</f>
        <v>6478604.7999999998</v>
      </c>
      <c r="N66" s="347">
        <f>1514504+128906.4</f>
        <v>1643410.4</v>
      </c>
      <c r="O66" s="347">
        <v>2094444.85</v>
      </c>
      <c r="P66" s="347">
        <v>7871326.1899999995</v>
      </c>
      <c r="Q66" s="347"/>
      <c r="R66" s="347">
        <v>4956682</v>
      </c>
      <c r="S66" s="347"/>
      <c r="T66" s="347"/>
      <c r="U66" s="530"/>
    </row>
    <row r="67" spans="1:21" outlineLevel="2" x14ac:dyDescent="0.25">
      <c r="A67" s="208">
        <v>3111</v>
      </c>
      <c r="B67" s="208">
        <v>5331</v>
      </c>
      <c r="C67" s="208">
        <v>2047</v>
      </c>
      <c r="D67" s="208">
        <v>52701</v>
      </c>
      <c r="E67" s="208">
        <v>0</v>
      </c>
      <c r="F67" s="438">
        <v>0</v>
      </c>
      <c r="G67" s="208">
        <v>0</v>
      </c>
      <c r="H67" s="208">
        <v>0</v>
      </c>
      <c r="I67" s="208">
        <v>0</v>
      </c>
      <c r="J67" s="325" t="str">
        <f t="shared" si="7"/>
        <v>3111/5331/2047/52701/0/0/0/0/0</v>
      </c>
      <c r="K67" s="325" t="s">
        <v>427</v>
      </c>
      <c r="L67" s="347">
        <v>5478596.54</v>
      </c>
      <c r="M67" s="347">
        <v>7237013.4000000004</v>
      </c>
      <c r="N67" s="347">
        <v>5416314.7999999998</v>
      </c>
      <c r="O67" s="347">
        <v>6183615</v>
      </c>
      <c r="P67" s="347">
        <v>8999712.3399999999</v>
      </c>
      <c r="Q67" s="347">
        <f>9436800+500000</f>
        <v>9936800</v>
      </c>
      <c r="R67" s="347">
        <v>9896660</v>
      </c>
      <c r="S67" s="347">
        <v>8520120</v>
      </c>
      <c r="T67" s="347">
        <v>173880</v>
      </c>
      <c r="U67" s="530" t="s">
        <v>4791</v>
      </c>
    </row>
    <row r="68" spans="1:21" outlineLevel="2" x14ac:dyDescent="0.25">
      <c r="A68" s="208">
        <v>3111</v>
      </c>
      <c r="B68" s="208">
        <v>5331</v>
      </c>
      <c r="C68" s="208">
        <v>2047</v>
      </c>
      <c r="D68" s="208">
        <v>52702</v>
      </c>
      <c r="E68" s="208">
        <v>0</v>
      </c>
      <c r="F68" s="438">
        <v>0</v>
      </c>
      <c r="G68" s="208">
        <v>0</v>
      </c>
      <c r="H68" s="208">
        <v>0</v>
      </c>
      <c r="I68" s="208">
        <v>0</v>
      </c>
      <c r="J68" s="325" t="str">
        <f t="shared" si="7"/>
        <v>3111/5331/2047/52702/0/0/0/0/0</v>
      </c>
      <c r="K68" s="325" t="s">
        <v>428</v>
      </c>
      <c r="L68" s="347">
        <v>801000</v>
      </c>
      <c r="M68" s="347">
        <v>938000</v>
      </c>
      <c r="N68" s="347">
        <v>809500</v>
      </c>
      <c r="O68" s="347">
        <v>1131000</v>
      </c>
      <c r="P68" s="347">
        <v>961000</v>
      </c>
      <c r="Q68" s="347">
        <v>2250000</v>
      </c>
      <c r="R68" s="347">
        <v>2422831.54</v>
      </c>
      <c r="S68" s="347">
        <v>1469020</v>
      </c>
      <c r="T68" s="347">
        <v>29980</v>
      </c>
      <c r="U68" s="530" t="s">
        <v>4793</v>
      </c>
    </row>
    <row r="69" spans="1:21" outlineLevel="2" x14ac:dyDescent="0.25">
      <c r="A69" s="216">
        <v>3119</v>
      </c>
      <c r="B69" s="216">
        <v>5222</v>
      </c>
      <c r="C69" s="216">
        <v>2047</v>
      </c>
      <c r="D69" s="216">
        <v>41943</v>
      </c>
      <c r="E69" s="216">
        <v>0</v>
      </c>
      <c r="F69" s="216">
        <v>0</v>
      </c>
      <c r="G69" s="216">
        <v>0</v>
      </c>
      <c r="H69" s="216">
        <v>0</v>
      </c>
      <c r="I69" s="216">
        <v>0</v>
      </c>
      <c r="J69" s="322" t="str">
        <f t="shared" si="7"/>
        <v>3119/5222/2047/41943/0/0/0/0/0</v>
      </c>
      <c r="K69" s="322" t="s">
        <v>430</v>
      </c>
      <c r="L69" s="345">
        <v>80000</v>
      </c>
      <c r="M69" s="345">
        <v>80000</v>
      </c>
      <c r="N69" s="345">
        <v>68679</v>
      </c>
      <c r="O69" s="345">
        <v>95000</v>
      </c>
      <c r="P69" s="345">
        <v>98000</v>
      </c>
      <c r="Q69" s="345">
        <v>98000</v>
      </c>
      <c r="R69" s="345">
        <v>98000</v>
      </c>
      <c r="S69" s="345">
        <v>100000</v>
      </c>
      <c r="T69" s="345"/>
      <c r="U69" s="531"/>
    </row>
    <row r="70" spans="1:21" outlineLevel="2" x14ac:dyDescent="0.25">
      <c r="A70" s="188">
        <v>3399</v>
      </c>
      <c r="B70" s="188">
        <v>5901</v>
      </c>
      <c r="C70" s="188">
        <v>2047</v>
      </c>
      <c r="D70" s="188">
        <v>0</v>
      </c>
      <c r="E70" s="188">
        <v>0</v>
      </c>
      <c r="F70" s="439">
        <v>0</v>
      </c>
      <c r="G70" s="188">
        <v>0</v>
      </c>
      <c r="H70" s="188">
        <v>51</v>
      </c>
      <c r="I70" s="188">
        <v>0</v>
      </c>
      <c r="J70" s="329" t="str">
        <f t="shared" si="7"/>
        <v>3399/5901/2047/0/0/0/0/51/0</v>
      </c>
      <c r="K70" s="329" t="s">
        <v>432</v>
      </c>
      <c r="L70" s="350">
        <v>379740</v>
      </c>
      <c r="M70" s="350">
        <v>311800</v>
      </c>
      <c r="N70" s="350">
        <v>317974</v>
      </c>
      <c r="O70" s="350">
        <v>169100</v>
      </c>
      <c r="P70" s="350">
        <v>161900</v>
      </c>
      <c r="Q70" s="350">
        <v>200000</v>
      </c>
      <c r="R70" s="350">
        <v>200000</v>
      </c>
      <c r="S70" s="350">
        <v>200000</v>
      </c>
      <c r="T70" s="350"/>
      <c r="U70" s="315"/>
    </row>
    <row r="71" spans="1:21" outlineLevel="2" x14ac:dyDescent="0.25">
      <c r="A71" s="193">
        <v>3133</v>
      </c>
      <c r="B71" s="193">
        <v>5339</v>
      </c>
      <c r="C71" s="193">
        <v>2047</v>
      </c>
      <c r="D71" s="193">
        <v>0</v>
      </c>
      <c r="E71" s="193">
        <v>0</v>
      </c>
      <c r="F71" s="194">
        <v>0</v>
      </c>
      <c r="G71" s="193">
        <v>0</v>
      </c>
      <c r="H71" s="193">
        <v>0</v>
      </c>
      <c r="I71" s="193">
        <v>0</v>
      </c>
      <c r="J71" s="321" t="str">
        <f t="shared" si="7"/>
        <v>3133/5339/2047/0/0/0/0/0/0</v>
      </c>
      <c r="K71" s="321" t="s">
        <v>4777</v>
      </c>
      <c r="L71" s="201"/>
      <c r="M71" s="201"/>
      <c r="N71" s="201"/>
      <c r="O71" s="201"/>
      <c r="P71" s="201"/>
      <c r="Q71" s="201"/>
      <c r="R71" s="201"/>
      <c r="S71" s="201">
        <v>25000</v>
      </c>
      <c r="T71" s="201"/>
      <c r="U71" s="403"/>
    </row>
    <row r="72" spans="1:21" ht="30" outlineLevel="2" x14ac:dyDescent="0.25">
      <c r="A72" s="208">
        <v>3141</v>
      </c>
      <c r="B72" s="208">
        <v>5331</v>
      </c>
      <c r="C72" s="208">
        <v>2047</v>
      </c>
      <c r="D72" s="208">
        <v>52740</v>
      </c>
      <c r="E72" s="208">
        <v>0</v>
      </c>
      <c r="F72" s="438">
        <v>0</v>
      </c>
      <c r="G72" s="208">
        <v>0</v>
      </c>
      <c r="H72" s="208">
        <v>0</v>
      </c>
      <c r="I72" s="208">
        <v>0</v>
      </c>
      <c r="J72" s="325" t="str">
        <f t="shared" si="7"/>
        <v>3141/5331/2047/52740/0/0/0/0/0</v>
      </c>
      <c r="K72" s="325" t="s">
        <v>437</v>
      </c>
      <c r="L72" s="347">
        <v>3422887</v>
      </c>
      <c r="M72" s="347">
        <v>3270000</v>
      </c>
      <c r="N72" s="347">
        <v>3530000</v>
      </c>
      <c r="O72" s="347">
        <v>3058385</v>
      </c>
      <c r="P72" s="347">
        <v>3530874</v>
      </c>
      <c r="Q72" s="347">
        <v>5211000</v>
      </c>
      <c r="R72" s="347">
        <v>5518698</v>
      </c>
      <c r="S72" s="347">
        <f>5195392+150000</f>
        <v>5345392</v>
      </c>
      <c r="T72" s="347">
        <v>106028</v>
      </c>
      <c r="U72" s="530" t="s">
        <v>5154</v>
      </c>
    </row>
    <row r="73" spans="1:21" outlineLevel="2" x14ac:dyDescent="0.25">
      <c r="A73" s="193">
        <v>3113</v>
      </c>
      <c r="B73" s="193">
        <v>5901</v>
      </c>
      <c r="C73" s="193">
        <v>2047</v>
      </c>
      <c r="D73" s="193">
        <v>0</v>
      </c>
      <c r="E73" s="193">
        <v>0</v>
      </c>
      <c r="F73" s="194">
        <v>0</v>
      </c>
      <c r="G73" s="193">
        <v>0</v>
      </c>
      <c r="H73" s="193">
        <v>0</v>
      </c>
      <c r="I73" s="193">
        <v>0</v>
      </c>
      <c r="J73" s="321" t="str">
        <f t="shared" si="7"/>
        <v>3113/5901/2047/0/0/0/0/0/0</v>
      </c>
      <c r="K73" s="321" t="s">
        <v>5054</v>
      </c>
      <c r="L73" s="201">
        <v>0</v>
      </c>
      <c r="M73" s="201"/>
      <c r="N73" s="201"/>
      <c r="O73" s="201"/>
      <c r="P73" s="201"/>
      <c r="Q73" s="201">
        <v>250000</v>
      </c>
      <c r="R73" s="201">
        <v>312000</v>
      </c>
      <c r="S73" s="201">
        <v>128010</v>
      </c>
      <c r="T73" s="201">
        <v>121990</v>
      </c>
      <c r="U73" s="403"/>
    </row>
    <row r="74" spans="1:21" outlineLevel="2" x14ac:dyDescent="0.25">
      <c r="A74" s="209">
        <v>3146</v>
      </c>
      <c r="B74" s="441">
        <v>5221</v>
      </c>
      <c r="C74" s="209">
        <v>2047</v>
      </c>
      <c r="D74" s="209">
        <v>44017</v>
      </c>
      <c r="E74" s="209">
        <v>0</v>
      </c>
      <c r="F74" s="210">
        <v>0</v>
      </c>
      <c r="G74" s="209">
        <v>0</v>
      </c>
      <c r="H74" s="209">
        <v>1</v>
      </c>
      <c r="I74" s="209">
        <v>0</v>
      </c>
      <c r="J74" s="324" t="str">
        <f t="shared" si="7"/>
        <v>3146/5221/2047/44017/0/0/0/1/0</v>
      </c>
      <c r="K74" s="324" t="s">
        <v>5151</v>
      </c>
      <c r="L74" s="206"/>
      <c r="M74" s="206"/>
      <c r="N74" s="206"/>
      <c r="O74" s="206"/>
      <c r="P74" s="206"/>
      <c r="Q74" s="206"/>
      <c r="R74" s="206"/>
      <c r="S74" s="206">
        <v>1750000</v>
      </c>
      <c r="T74" s="206"/>
      <c r="U74" s="531" t="s">
        <v>813</v>
      </c>
    </row>
    <row r="75" spans="1:21" outlineLevel="2" x14ac:dyDescent="0.25">
      <c r="A75" s="208">
        <v>3113</v>
      </c>
      <c r="B75" s="440">
        <v>5331</v>
      </c>
      <c r="C75" s="208">
        <v>2047</v>
      </c>
      <c r="D75" s="208">
        <v>52759</v>
      </c>
      <c r="E75" s="208">
        <v>0</v>
      </c>
      <c r="F75" s="438">
        <v>0</v>
      </c>
      <c r="G75" s="208">
        <v>0</v>
      </c>
      <c r="H75" s="208">
        <v>1</v>
      </c>
      <c r="I75" s="208">
        <v>0</v>
      </c>
      <c r="J75" s="325" t="str">
        <f t="shared" si="7"/>
        <v>3113/5331/2047/52759/0/0/0/1/0</v>
      </c>
      <c r="K75" s="325" t="s">
        <v>3902</v>
      </c>
      <c r="L75" s="347"/>
      <c r="M75" s="347"/>
      <c r="N75" s="347"/>
      <c r="O75" s="347"/>
      <c r="P75" s="347">
        <v>62076.31</v>
      </c>
      <c r="Q75" s="347"/>
      <c r="R75" s="347"/>
      <c r="S75" s="347"/>
      <c r="T75" s="347"/>
      <c r="U75" s="530"/>
    </row>
    <row r="76" spans="1:21" outlineLevel="2" x14ac:dyDescent="0.25">
      <c r="A76" s="193">
        <v>3113</v>
      </c>
      <c r="B76" s="269">
        <v>5651</v>
      </c>
      <c r="C76" s="193">
        <v>2047</v>
      </c>
      <c r="D76" s="193">
        <v>52759</v>
      </c>
      <c r="E76" s="193">
        <v>0</v>
      </c>
      <c r="F76" s="194">
        <v>0</v>
      </c>
      <c r="G76" s="193">
        <v>0</v>
      </c>
      <c r="H76" s="193">
        <v>1</v>
      </c>
      <c r="I76" s="193">
        <v>0</v>
      </c>
      <c r="J76" s="321" t="str">
        <f t="shared" si="7"/>
        <v>3113/5651/2047/52759/0/0/0/1/0</v>
      </c>
      <c r="K76" s="321" t="s">
        <v>3901</v>
      </c>
      <c r="L76" s="201"/>
      <c r="M76" s="201"/>
      <c r="N76" s="201"/>
      <c r="O76" s="201"/>
      <c r="P76" s="201">
        <v>2000000</v>
      </c>
      <c r="Q76" s="201"/>
      <c r="R76" s="201"/>
      <c r="S76" s="201"/>
      <c r="T76" s="201"/>
      <c r="U76" s="403"/>
    </row>
    <row r="77" spans="1:21" ht="30" outlineLevel="2" x14ac:dyDescent="0.25">
      <c r="A77" s="208">
        <v>3113</v>
      </c>
      <c r="B77" s="208">
        <v>5331</v>
      </c>
      <c r="C77" s="208">
        <v>2047</v>
      </c>
      <c r="D77" s="208">
        <v>52759</v>
      </c>
      <c r="E77" s="208">
        <v>0</v>
      </c>
      <c r="F77" s="438">
        <v>0</v>
      </c>
      <c r="G77" s="208">
        <v>0</v>
      </c>
      <c r="H77" s="208">
        <v>0</v>
      </c>
      <c r="I77" s="208">
        <v>0</v>
      </c>
      <c r="J77" s="325" t="str">
        <f t="shared" si="7"/>
        <v>3113/5331/2047/52759/0/0/0/0/0</v>
      </c>
      <c r="K77" s="325" t="s">
        <v>442</v>
      </c>
      <c r="L77" s="347">
        <v>4017461</v>
      </c>
      <c r="M77" s="347">
        <v>2974934</v>
      </c>
      <c r="N77" s="347">
        <v>3208436</v>
      </c>
      <c r="O77" s="347">
        <v>3700000</v>
      </c>
      <c r="P77" s="347">
        <v>3136000</v>
      </c>
      <c r="Q77" s="347">
        <v>4599000</v>
      </c>
      <c r="R77" s="347">
        <v>4649000</v>
      </c>
      <c r="S77" s="347">
        <f>4116000+850000</f>
        <v>4966000</v>
      </c>
      <c r="T77" s="347">
        <v>84000</v>
      </c>
      <c r="U77" s="530" t="s">
        <v>5150</v>
      </c>
    </row>
    <row r="78" spans="1:21" outlineLevel="2" x14ac:dyDescent="0.25">
      <c r="A78" s="208">
        <v>3113</v>
      </c>
      <c r="B78" s="208">
        <v>5331</v>
      </c>
      <c r="C78" s="208">
        <v>2047</v>
      </c>
      <c r="D78" s="208">
        <v>52720</v>
      </c>
      <c r="E78" s="208">
        <v>0</v>
      </c>
      <c r="F78" s="438">
        <v>0</v>
      </c>
      <c r="G78" s="208">
        <v>0</v>
      </c>
      <c r="H78" s="208">
        <v>0</v>
      </c>
      <c r="I78" s="208">
        <v>0</v>
      </c>
      <c r="J78" s="325" t="str">
        <f t="shared" si="7"/>
        <v>3113/5331/2047/52720/0/0/0/0/0</v>
      </c>
      <c r="K78" s="325" t="s">
        <v>443</v>
      </c>
      <c r="L78" s="347">
        <v>2710192.3</v>
      </c>
      <c r="M78" s="347">
        <v>3650880</v>
      </c>
      <c r="N78" s="347">
        <v>2136343.12</v>
      </c>
      <c r="O78" s="347">
        <v>3200000</v>
      </c>
      <c r="P78" s="347">
        <v>2373000</v>
      </c>
      <c r="Q78" s="347">
        <v>3460000</v>
      </c>
      <c r="R78" s="347">
        <v>3552000</v>
      </c>
      <c r="S78" s="347">
        <v>3219300</v>
      </c>
      <c r="T78" s="347">
        <v>65700</v>
      </c>
      <c r="U78" s="530" t="s">
        <v>4796</v>
      </c>
    </row>
    <row r="79" spans="1:21" ht="30" outlineLevel="2" x14ac:dyDescent="0.25">
      <c r="A79" s="208">
        <v>3113</v>
      </c>
      <c r="B79" s="208">
        <v>5331</v>
      </c>
      <c r="C79" s="208">
        <v>2047</v>
      </c>
      <c r="D79" s="208">
        <v>52722</v>
      </c>
      <c r="E79" s="208">
        <v>0</v>
      </c>
      <c r="F79" s="438">
        <v>0</v>
      </c>
      <c r="G79" s="208">
        <v>0</v>
      </c>
      <c r="H79" s="208">
        <v>0</v>
      </c>
      <c r="I79" s="208">
        <v>0</v>
      </c>
      <c r="J79" s="325" t="str">
        <f t="shared" si="7"/>
        <v>3113/5331/2047/52722/0/0/0/0/0</v>
      </c>
      <c r="K79" s="325" t="s">
        <v>444</v>
      </c>
      <c r="L79" s="347">
        <v>5494000</v>
      </c>
      <c r="M79" s="347">
        <v>4863000</v>
      </c>
      <c r="N79" s="347">
        <v>4373000</v>
      </c>
      <c r="O79" s="347">
        <v>4426000</v>
      </c>
      <c r="P79" s="347">
        <v>5031627</v>
      </c>
      <c r="Q79" s="347">
        <v>7012910</v>
      </c>
      <c r="R79" s="347">
        <v>7662910</v>
      </c>
      <c r="S79" s="347">
        <f>4798080+605000</f>
        <v>5403080</v>
      </c>
      <c r="T79" s="347">
        <v>97920</v>
      </c>
      <c r="U79" s="530" t="s">
        <v>5148</v>
      </c>
    </row>
    <row r="80" spans="1:21" outlineLevel="2" x14ac:dyDescent="0.25">
      <c r="A80" s="208">
        <v>3113</v>
      </c>
      <c r="B80" s="208">
        <v>5331</v>
      </c>
      <c r="C80" s="208">
        <v>2047</v>
      </c>
      <c r="D80" s="208">
        <v>52723</v>
      </c>
      <c r="E80" s="208">
        <v>0</v>
      </c>
      <c r="F80" s="438">
        <v>0</v>
      </c>
      <c r="G80" s="208">
        <v>0</v>
      </c>
      <c r="H80" s="208">
        <v>0</v>
      </c>
      <c r="I80" s="208">
        <v>0</v>
      </c>
      <c r="J80" s="325" t="str">
        <f t="shared" si="7"/>
        <v>3113/5331/2047/52723/0/0/0/0/0</v>
      </c>
      <c r="K80" s="325" t="s">
        <v>445</v>
      </c>
      <c r="L80" s="347">
        <v>4533350</v>
      </c>
      <c r="M80" s="347">
        <v>5840000</v>
      </c>
      <c r="N80" s="347">
        <v>6959000</v>
      </c>
      <c r="O80" s="347">
        <v>4252000</v>
      </c>
      <c r="P80" s="347">
        <v>5271000</v>
      </c>
      <c r="Q80" s="347">
        <f>9600000-1200000</f>
        <v>8400000</v>
      </c>
      <c r="R80" s="347">
        <v>8450000</v>
      </c>
      <c r="S80" s="347">
        <v>7369600</v>
      </c>
      <c r="T80" s="347">
        <v>150400</v>
      </c>
      <c r="U80" s="530" t="s">
        <v>4797</v>
      </c>
    </row>
    <row r="81" spans="1:21" ht="30" outlineLevel="2" x14ac:dyDescent="0.25">
      <c r="A81" s="208">
        <v>3231</v>
      </c>
      <c r="B81" s="208">
        <v>5331</v>
      </c>
      <c r="C81" s="208">
        <v>2047</v>
      </c>
      <c r="D81" s="208">
        <v>52750</v>
      </c>
      <c r="E81" s="208">
        <v>0</v>
      </c>
      <c r="F81" s="438">
        <v>0</v>
      </c>
      <c r="G81" s="208">
        <v>0</v>
      </c>
      <c r="H81" s="208">
        <v>0</v>
      </c>
      <c r="I81" s="208">
        <v>0</v>
      </c>
      <c r="J81" s="325" t="str">
        <f t="shared" si="7"/>
        <v>3231/5331/2047/52750/0/0/0/0/0</v>
      </c>
      <c r="K81" s="325" t="s">
        <v>446</v>
      </c>
      <c r="L81" s="347">
        <v>1704000</v>
      </c>
      <c r="M81" s="347">
        <v>1662000</v>
      </c>
      <c r="N81" s="347">
        <v>1662000</v>
      </c>
      <c r="O81" s="347">
        <v>1939000</v>
      </c>
      <c r="P81" s="347">
        <v>1730000</v>
      </c>
      <c r="Q81" s="347">
        <f>5446000-2951000</f>
        <v>2495000</v>
      </c>
      <c r="R81" s="347">
        <v>2495000</v>
      </c>
      <c r="S81" s="347">
        <v>2489200</v>
      </c>
      <c r="T81" s="347">
        <v>50800</v>
      </c>
      <c r="U81" s="530" t="s">
        <v>4798</v>
      </c>
    </row>
    <row r="82" spans="1:21" ht="30" outlineLevel="1" x14ac:dyDescent="0.25">
      <c r="A82" s="491"/>
      <c r="B82" s="491"/>
      <c r="C82" s="499" t="s">
        <v>4661</v>
      </c>
      <c r="D82" s="491"/>
      <c r="E82" s="491"/>
      <c r="F82" s="492"/>
      <c r="G82" s="491"/>
      <c r="H82" s="491"/>
      <c r="I82" s="491"/>
      <c r="J82" s="493">
        <v>2047</v>
      </c>
      <c r="K82" s="516" t="str">
        <f>VLOOKUP(J82,orJ_správce_telefon_mail!A:B,2,0)</f>
        <v>Odbor cestovního ruchu, školství a kultury - Oddělení školství a kultury - Bc. Francová Lucie</v>
      </c>
      <c r="L82" s="494">
        <f t="shared" ref="L82:T82" si="8">SUBTOTAL(9,L64:L81)</f>
        <v>32845253.440000001</v>
      </c>
      <c r="M82" s="494">
        <f t="shared" si="8"/>
        <v>37306232.200000003</v>
      </c>
      <c r="N82" s="494">
        <f t="shared" si="8"/>
        <v>30124657.32</v>
      </c>
      <c r="O82" s="494">
        <f t="shared" si="8"/>
        <v>30248544.850000001</v>
      </c>
      <c r="P82" s="494">
        <f t="shared" si="8"/>
        <v>41376515.840000004</v>
      </c>
      <c r="Q82" s="494">
        <f t="shared" si="8"/>
        <v>43912710</v>
      </c>
      <c r="R82" s="494">
        <f t="shared" si="8"/>
        <v>50213781.539999999</v>
      </c>
      <c r="S82" s="494">
        <f t="shared" si="8"/>
        <v>41264722</v>
      </c>
      <c r="T82" s="494">
        <f t="shared" si="8"/>
        <v>880698</v>
      </c>
      <c r="U82" s="541"/>
    </row>
    <row r="83" spans="1:21" ht="30" outlineLevel="2" x14ac:dyDescent="0.25">
      <c r="A83" s="193">
        <v>3319</v>
      </c>
      <c r="B83" s="193">
        <v>5169</v>
      </c>
      <c r="C83" s="193">
        <v>2049</v>
      </c>
      <c r="D83" s="193">
        <v>0</v>
      </c>
      <c r="E83" s="193">
        <v>0</v>
      </c>
      <c r="F83" s="193">
        <v>0</v>
      </c>
      <c r="G83" s="193">
        <v>0</v>
      </c>
      <c r="H83" s="193">
        <v>1</v>
      </c>
      <c r="I83" s="193">
        <v>0</v>
      </c>
      <c r="J83" s="321" t="str">
        <f t="shared" ref="J83:J104" si="9">CONCATENATE(A83,"/",B83,"/",C83,"/",D83,"/",E83,"/",F83,"/",G83,"/",H83,"/",I83)</f>
        <v>3319/5169/2049/0/0/0/0/1/0</v>
      </c>
      <c r="K83" s="321" t="s">
        <v>4807</v>
      </c>
      <c r="L83" s="201"/>
      <c r="M83" s="201"/>
      <c r="N83" s="201"/>
      <c r="O83" s="201"/>
      <c r="P83" s="201"/>
      <c r="Q83" s="201"/>
      <c r="R83" s="201"/>
      <c r="S83" s="201">
        <v>69720</v>
      </c>
      <c r="T83" s="201">
        <v>141000</v>
      </c>
      <c r="U83" s="403" t="s">
        <v>4809</v>
      </c>
    </row>
    <row r="84" spans="1:21" outlineLevel="2" x14ac:dyDescent="0.25">
      <c r="A84" s="193">
        <v>2143</v>
      </c>
      <c r="B84" s="193">
        <v>5213</v>
      </c>
      <c r="C84" s="193">
        <v>2049</v>
      </c>
      <c r="D84" s="193">
        <v>0</v>
      </c>
      <c r="E84" s="193">
        <v>0</v>
      </c>
      <c r="F84" s="194">
        <v>0</v>
      </c>
      <c r="G84" s="193">
        <v>0</v>
      </c>
      <c r="H84" s="193">
        <v>0</v>
      </c>
      <c r="I84" s="193">
        <v>0</v>
      </c>
      <c r="J84" s="321" t="str">
        <f t="shared" si="9"/>
        <v>2143/5213/2049/0/0/0/0/0/0</v>
      </c>
      <c r="K84" s="321" t="s">
        <v>4787</v>
      </c>
      <c r="L84" s="201"/>
      <c r="M84" s="201"/>
      <c r="N84" s="201"/>
      <c r="O84" s="201"/>
      <c r="P84" s="201"/>
      <c r="Q84" s="201"/>
      <c r="R84" s="201"/>
      <c r="S84" s="201">
        <v>400000</v>
      </c>
      <c r="T84" s="201"/>
      <c r="U84" s="403"/>
    </row>
    <row r="85" spans="1:21" outlineLevel="2" x14ac:dyDescent="0.25">
      <c r="A85" s="193">
        <v>2143</v>
      </c>
      <c r="B85" s="193">
        <v>5194</v>
      </c>
      <c r="C85" s="193">
        <v>2049</v>
      </c>
      <c r="D85" s="193">
        <v>18700</v>
      </c>
      <c r="E85" s="193">
        <v>0</v>
      </c>
      <c r="F85" s="194">
        <v>0</v>
      </c>
      <c r="G85" s="193">
        <v>0</v>
      </c>
      <c r="H85" s="193">
        <v>0</v>
      </c>
      <c r="I85" s="193">
        <v>0</v>
      </c>
      <c r="J85" s="321" t="str">
        <f t="shared" si="9"/>
        <v>2143/5194/2049/18700/0/0/0/0/0</v>
      </c>
      <c r="K85" s="321" t="s">
        <v>3800</v>
      </c>
      <c r="L85" s="201">
        <f>4760+8162.92+56401</f>
        <v>69323.92</v>
      </c>
      <c r="M85" s="201">
        <f>11990+12049+1149.5+93253.1</f>
        <v>118441.60000000001</v>
      </c>
      <c r="N85" s="201">
        <f>9819+308+92040.9</f>
        <v>102167.9</v>
      </c>
      <c r="O85" s="201">
        <v>96899.55</v>
      </c>
      <c r="P85" s="201">
        <v>35961.93</v>
      </c>
      <c r="Q85" s="201">
        <v>30000</v>
      </c>
      <c r="R85" s="201">
        <v>30000</v>
      </c>
      <c r="S85" s="201">
        <v>81600</v>
      </c>
      <c r="T85" s="201"/>
      <c r="U85" s="403"/>
    </row>
    <row r="86" spans="1:21" outlineLevel="2" x14ac:dyDescent="0.25">
      <c r="A86" s="256">
        <v>2143</v>
      </c>
      <c r="B86" s="256">
        <v>5137</v>
      </c>
      <c r="C86" s="256">
        <v>2049</v>
      </c>
      <c r="D86" s="256">
        <v>0</v>
      </c>
      <c r="E86" s="256">
        <v>0</v>
      </c>
      <c r="F86" s="256">
        <v>0</v>
      </c>
      <c r="G86" s="256">
        <v>0</v>
      </c>
      <c r="H86" s="256">
        <v>0</v>
      </c>
      <c r="I86" s="256">
        <v>0</v>
      </c>
      <c r="J86" s="321" t="str">
        <f t="shared" si="9"/>
        <v>2143/5137/2049/0/0/0/0/0/0</v>
      </c>
      <c r="K86" s="447" t="s">
        <v>4757</v>
      </c>
      <c r="L86" s="201"/>
      <c r="M86" s="201"/>
      <c r="N86" s="201"/>
      <c r="O86" s="201"/>
      <c r="P86" s="201"/>
      <c r="Q86" s="201"/>
      <c r="R86" s="201">
        <v>988</v>
      </c>
      <c r="S86" s="201"/>
      <c r="T86" s="201"/>
      <c r="U86" s="403"/>
    </row>
    <row r="87" spans="1:21" outlineLevel="2" x14ac:dyDescent="0.25">
      <c r="A87" s="187">
        <v>2143</v>
      </c>
      <c r="B87" s="187">
        <v>5042</v>
      </c>
      <c r="C87" s="187">
        <v>2049</v>
      </c>
      <c r="D87" s="187">
        <v>18700</v>
      </c>
      <c r="E87" s="187">
        <v>0</v>
      </c>
      <c r="F87" s="187">
        <v>0</v>
      </c>
      <c r="G87" s="187">
        <v>0</v>
      </c>
      <c r="H87" s="187">
        <v>0</v>
      </c>
      <c r="I87" s="187">
        <v>0</v>
      </c>
      <c r="J87" s="327" t="str">
        <f t="shared" si="9"/>
        <v>2143/5042/2049/18700/0/0/0/0/0</v>
      </c>
      <c r="K87" s="327" t="s">
        <v>3853</v>
      </c>
      <c r="L87" s="200"/>
      <c r="M87" s="200"/>
      <c r="N87" s="200"/>
      <c r="O87" s="200"/>
      <c r="P87" s="200">
        <v>3422.64</v>
      </c>
      <c r="Q87" s="200">
        <v>4000</v>
      </c>
      <c r="R87" s="200">
        <v>4000</v>
      </c>
      <c r="S87" s="200">
        <v>4000</v>
      </c>
      <c r="T87" s="200"/>
      <c r="U87" s="403"/>
    </row>
    <row r="88" spans="1:21" outlineLevel="2" x14ac:dyDescent="0.25">
      <c r="A88" s="193">
        <v>2143</v>
      </c>
      <c r="B88" s="193">
        <v>5171</v>
      </c>
      <c r="C88" s="193">
        <v>2049</v>
      </c>
      <c r="D88" s="193">
        <v>66653</v>
      </c>
      <c r="E88" s="193">
        <v>0</v>
      </c>
      <c r="F88" s="194">
        <v>0</v>
      </c>
      <c r="G88" s="193">
        <v>0</v>
      </c>
      <c r="H88" s="193">
        <v>0</v>
      </c>
      <c r="I88" s="193">
        <v>0</v>
      </c>
      <c r="J88" s="321" t="str">
        <f t="shared" si="9"/>
        <v>2143/5171/2049/66653/0/0/0/0/0</v>
      </c>
      <c r="K88" s="321" t="s">
        <v>3801</v>
      </c>
      <c r="L88" s="201">
        <v>7592</v>
      </c>
      <c r="M88" s="201">
        <v>3491</v>
      </c>
      <c r="N88" s="201"/>
      <c r="O88" s="201">
        <v>20244.78</v>
      </c>
      <c r="P88" s="201">
        <v>56991</v>
      </c>
      <c r="Q88" s="201">
        <v>0</v>
      </c>
      <c r="R88" s="201">
        <v>11069.08</v>
      </c>
      <c r="S88" s="201">
        <v>60000</v>
      </c>
      <c r="T88" s="201"/>
      <c r="U88" s="403"/>
    </row>
    <row r="89" spans="1:21" outlineLevel="2" x14ac:dyDescent="0.25">
      <c r="A89" s="193">
        <v>2143</v>
      </c>
      <c r="B89" s="193">
        <v>5139</v>
      </c>
      <c r="C89" s="193">
        <v>2049</v>
      </c>
      <c r="D89" s="193">
        <v>66653</v>
      </c>
      <c r="E89" s="193">
        <v>0</v>
      </c>
      <c r="F89" s="194">
        <v>0</v>
      </c>
      <c r="G89" s="193">
        <v>0</v>
      </c>
      <c r="H89" s="193">
        <v>0</v>
      </c>
      <c r="I89" s="193">
        <v>0</v>
      </c>
      <c r="J89" s="321" t="str">
        <f t="shared" si="9"/>
        <v>2143/5139/2049/66653/0/0/0/0/0</v>
      </c>
      <c r="K89" s="321" t="s">
        <v>3802</v>
      </c>
      <c r="L89" s="201">
        <v>36774.410000000003</v>
      </c>
      <c r="M89" s="201">
        <v>21712</v>
      </c>
      <c r="N89" s="201">
        <v>16132.7</v>
      </c>
      <c r="O89" s="201">
        <v>112221.05</v>
      </c>
      <c r="P89" s="201">
        <v>74507.350000000006</v>
      </c>
      <c r="Q89" s="201">
        <v>30000</v>
      </c>
      <c r="R89" s="201">
        <v>30000</v>
      </c>
      <c r="S89" s="201">
        <v>54200</v>
      </c>
      <c r="T89" s="201"/>
      <c r="U89" s="403"/>
    </row>
    <row r="90" spans="1:21" outlineLevel="2" x14ac:dyDescent="0.25">
      <c r="A90" s="193">
        <v>2143</v>
      </c>
      <c r="B90" s="193">
        <v>5169</v>
      </c>
      <c r="C90" s="193">
        <v>2049</v>
      </c>
      <c r="D90" s="193">
        <v>66653</v>
      </c>
      <c r="E90" s="193">
        <v>0</v>
      </c>
      <c r="F90" s="194">
        <v>0</v>
      </c>
      <c r="G90" s="193">
        <v>0</v>
      </c>
      <c r="H90" s="193">
        <v>0</v>
      </c>
      <c r="I90" s="193">
        <v>0</v>
      </c>
      <c r="J90" s="321" t="str">
        <f t="shared" si="9"/>
        <v>2143/5169/2049/66653/0/0/0/0/0</v>
      </c>
      <c r="K90" s="321" t="s">
        <v>3803</v>
      </c>
      <c r="L90" s="201">
        <f>329785.96+194496.47+71489</f>
        <v>595771.43000000005</v>
      </c>
      <c r="M90" s="201">
        <f>512415.82+157874.19+43127.5</f>
        <v>713417.51</v>
      </c>
      <c r="N90" s="201">
        <f>293234.21+317909.16</f>
        <v>611143.37</v>
      </c>
      <c r="O90" s="201">
        <v>308264.86</v>
      </c>
      <c r="P90" s="201">
        <v>382456.54</v>
      </c>
      <c r="Q90" s="201">
        <v>300000</v>
      </c>
      <c r="R90" s="201">
        <v>296727.52</v>
      </c>
      <c r="S90" s="201">
        <v>312000</v>
      </c>
      <c r="T90" s="201"/>
      <c r="U90" s="403"/>
    </row>
    <row r="91" spans="1:21" ht="30" outlineLevel="2" x14ac:dyDescent="0.25">
      <c r="A91" s="193">
        <v>2143</v>
      </c>
      <c r="B91" s="193">
        <v>5139</v>
      </c>
      <c r="C91" s="193">
        <v>2049</v>
      </c>
      <c r="D91" s="193">
        <v>0</v>
      </c>
      <c r="E91" s="193">
        <v>0</v>
      </c>
      <c r="F91" s="194">
        <v>0</v>
      </c>
      <c r="G91" s="193">
        <v>0</v>
      </c>
      <c r="H91" s="193">
        <v>0</v>
      </c>
      <c r="I91" s="193">
        <v>0</v>
      </c>
      <c r="J91" s="321" t="str">
        <f t="shared" si="9"/>
        <v>2143/5139/2049/0/0/0/0/0/0</v>
      </c>
      <c r="K91" s="321" t="s">
        <v>3815</v>
      </c>
      <c r="L91" s="201">
        <f>249347.65+292</f>
        <v>249639.65</v>
      </c>
      <c r="M91" s="201">
        <v>327291.76</v>
      </c>
      <c r="N91" s="201">
        <f>283546.56+1733</f>
        <v>285279.56</v>
      </c>
      <c r="O91" s="201">
        <v>9940.5499999999993</v>
      </c>
      <c r="P91" s="201">
        <v>565312.09</v>
      </c>
      <c r="Q91" s="201">
        <v>250000</v>
      </c>
      <c r="R91" s="201">
        <v>481219.17</v>
      </c>
      <c r="S91" s="201">
        <v>654591</v>
      </c>
      <c r="T91" s="201"/>
      <c r="U91" s="529" t="s">
        <v>4778</v>
      </c>
    </row>
    <row r="92" spans="1:21" outlineLevel="2" x14ac:dyDescent="0.25">
      <c r="A92" s="193">
        <v>2143</v>
      </c>
      <c r="B92" s="193">
        <v>5169</v>
      </c>
      <c r="C92" s="193">
        <v>2049</v>
      </c>
      <c r="D92" s="193">
        <v>18700</v>
      </c>
      <c r="E92" s="193">
        <v>0</v>
      </c>
      <c r="F92" s="194">
        <v>0</v>
      </c>
      <c r="G92" s="193">
        <v>0</v>
      </c>
      <c r="H92" s="193">
        <v>0</v>
      </c>
      <c r="I92" s="193">
        <v>0</v>
      </c>
      <c r="J92" s="321" t="str">
        <f t="shared" si="9"/>
        <v>2143/5169/2049/18700/0/0/0/0/0</v>
      </c>
      <c r="K92" s="321" t="s">
        <v>3799</v>
      </c>
      <c r="L92" s="201">
        <v>24307</v>
      </c>
      <c r="M92" s="201">
        <v>9300</v>
      </c>
      <c r="N92" s="201">
        <v>700</v>
      </c>
      <c r="O92" s="201">
        <v>1911</v>
      </c>
      <c r="P92" s="201">
        <v>3670</v>
      </c>
      <c r="Q92" s="201">
        <v>10000</v>
      </c>
      <c r="R92" s="201">
        <v>10000</v>
      </c>
      <c r="S92" s="201">
        <v>10000</v>
      </c>
      <c r="T92" s="201"/>
      <c r="U92" s="403"/>
    </row>
    <row r="93" spans="1:21" outlineLevel="2" x14ac:dyDescent="0.25">
      <c r="A93" s="193">
        <v>2143</v>
      </c>
      <c r="B93" s="193">
        <v>5175</v>
      </c>
      <c r="C93" s="193">
        <v>2049</v>
      </c>
      <c r="D93" s="193">
        <v>18700</v>
      </c>
      <c r="E93" s="193">
        <v>0</v>
      </c>
      <c r="F93" s="194">
        <v>0</v>
      </c>
      <c r="G93" s="193">
        <v>0</v>
      </c>
      <c r="H93" s="193">
        <v>0</v>
      </c>
      <c r="I93" s="193">
        <v>0</v>
      </c>
      <c r="J93" s="321" t="str">
        <f t="shared" si="9"/>
        <v>2143/5175/2049/18700/0/0/0/0/0</v>
      </c>
      <c r="K93" s="321" t="s">
        <v>4483</v>
      </c>
      <c r="L93" s="201">
        <v>22011</v>
      </c>
      <c r="M93" s="201">
        <v>13756</v>
      </c>
      <c r="N93" s="201">
        <v>1367</v>
      </c>
      <c r="O93" s="201"/>
      <c r="P93" s="201">
        <v>29159</v>
      </c>
      <c r="Q93" s="201">
        <v>15000</v>
      </c>
      <c r="R93" s="201">
        <v>15000</v>
      </c>
      <c r="S93" s="201">
        <v>50000</v>
      </c>
      <c r="T93" s="201"/>
      <c r="U93" s="403"/>
    </row>
    <row r="94" spans="1:21" outlineLevel="2" x14ac:dyDescent="0.25">
      <c r="A94" s="210">
        <v>2143</v>
      </c>
      <c r="B94" s="210">
        <v>5329</v>
      </c>
      <c r="C94" s="210">
        <v>2049</v>
      </c>
      <c r="D94" s="210">
        <v>42558</v>
      </c>
      <c r="E94" s="210">
        <v>35</v>
      </c>
      <c r="F94" s="210">
        <v>0</v>
      </c>
      <c r="G94" s="209">
        <v>0</v>
      </c>
      <c r="H94" s="210">
        <v>0</v>
      </c>
      <c r="I94" s="210">
        <v>0</v>
      </c>
      <c r="J94" s="330" t="str">
        <f t="shared" si="9"/>
        <v>2143/5329/2049/42558/35/0/0/0/0</v>
      </c>
      <c r="K94" s="330" t="s">
        <v>5055</v>
      </c>
      <c r="L94" s="206">
        <v>140000</v>
      </c>
      <c r="M94" s="206">
        <v>170000</v>
      </c>
      <c r="N94" s="206">
        <v>170000</v>
      </c>
      <c r="O94" s="206">
        <v>170000</v>
      </c>
      <c r="P94" s="206">
        <v>170000</v>
      </c>
      <c r="Q94" s="206">
        <v>170000</v>
      </c>
      <c r="R94" s="206">
        <v>170000</v>
      </c>
      <c r="S94" s="206">
        <v>170000</v>
      </c>
      <c r="T94" s="206"/>
      <c r="U94" s="531"/>
    </row>
    <row r="95" spans="1:21" ht="30" outlineLevel="2" x14ac:dyDescent="0.25">
      <c r="A95" s="210">
        <v>2143</v>
      </c>
      <c r="B95" s="210">
        <v>5329</v>
      </c>
      <c r="C95" s="210">
        <v>2049</v>
      </c>
      <c r="D95" s="210">
        <v>42934</v>
      </c>
      <c r="E95" s="210">
        <v>35</v>
      </c>
      <c r="F95" s="210">
        <v>0</v>
      </c>
      <c r="G95" s="209">
        <v>0</v>
      </c>
      <c r="H95" s="210">
        <v>0</v>
      </c>
      <c r="I95" s="210">
        <v>0</v>
      </c>
      <c r="J95" s="330" t="str">
        <f t="shared" si="9"/>
        <v>2143/5329/2049/42934/35/0/0/0/0</v>
      </c>
      <c r="K95" s="330" t="s">
        <v>5056</v>
      </c>
      <c r="L95" s="206">
        <v>75000</v>
      </c>
      <c r="M95" s="206">
        <v>75000</v>
      </c>
      <c r="N95" s="206">
        <v>100000</v>
      </c>
      <c r="O95" s="206">
        <v>100000</v>
      </c>
      <c r="P95" s="206">
        <v>100000</v>
      </c>
      <c r="Q95" s="206">
        <v>100000</v>
      </c>
      <c r="R95" s="206">
        <v>100000</v>
      </c>
      <c r="S95" s="206">
        <v>100000</v>
      </c>
      <c r="T95" s="206"/>
      <c r="U95" s="531" t="s">
        <v>5125</v>
      </c>
    </row>
    <row r="96" spans="1:21" outlineLevel="2" x14ac:dyDescent="0.25">
      <c r="A96" s="193">
        <v>2143</v>
      </c>
      <c r="B96" s="193">
        <v>5169</v>
      </c>
      <c r="C96" s="193">
        <v>2049</v>
      </c>
      <c r="D96" s="193">
        <v>0</v>
      </c>
      <c r="E96" s="193">
        <v>0</v>
      </c>
      <c r="F96" s="194">
        <v>0</v>
      </c>
      <c r="G96" s="193">
        <v>0</v>
      </c>
      <c r="H96" s="193">
        <v>0</v>
      </c>
      <c r="I96" s="193">
        <v>0</v>
      </c>
      <c r="J96" s="321" t="str">
        <f t="shared" si="9"/>
        <v>2143/5169/2049/0/0/0/0/0/0</v>
      </c>
      <c r="K96" s="321" t="s">
        <v>4482</v>
      </c>
      <c r="L96" s="201">
        <v>559009.75</v>
      </c>
      <c r="M96" s="201">
        <v>242027.78000000003</v>
      </c>
      <c r="N96" s="201">
        <v>12626</v>
      </c>
      <c r="O96" s="201">
        <v>69629</v>
      </c>
      <c r="P96" s="201">
        <v>57014</v>
      </c>
      <c r="Q96" s="201">
        <v>100000</v>
      </c>
      <c r="R96" s="201">
        <v>65000</v>
      </c>
      <c r="S96" s="201">
        <v>155000</v>
      </c>
      <c r="T96" s="201"/>
      <c r="U96" s="403" t="s">
        <v>4779</v>
      </c>
    </row>
    <row r="97" spans="1:22" outlineLevel="2" x14ac:dyDescent="0.25">
      <c r="A97" s="193">
        <v>2143</v>
      </c>
      <c r="B97" s="193">
        <v>5168</v>
      </c>
      <c r="C97" s="193">
        <v>2049</v>
      </c>
      <c r="D97" s="193">
        <v>66203</v>
      </c>
      <c r="E97" s="193">
        <v>0</v>
      </c>
      <c r="F97" s="194">
        <v>0</v>
      </c>
      <c r="G97" s="193">
        <v>0</v>
      </c>
      <c r="H97" s="193">
        <v>0</v>
      </c>
      <c r="I97" s="193">
        <v>0</v>
      </c>
      <c r="J97" s="321" t="str">
        <f t="shared" si="9"/>
        <v>2143/5168/2049/66203/0/0/0/0/0</v>
      </c>
      <c r="K97" s="321" t="s">
        <v>4377</v>
      </c>
      <c r="L97" s="201"/>
      <c r="M97" s="201"/>
      <c r="N97" s="201"/>
      <c r="O97" s="201"/>
      <c r="P97" s="201"/>
      <c r="Q97" s="201">
        <v>60000</v>
      </c>
      <c r="R97" s="201">
        <v>60000</v>
      </c>
      <c r="S97" s="201">
        <v>60000</v>
      </c>
      <c r="T97" s="201"/>
      <c r="U97" s="403"/>
    </row>
    <row r="98" spans="1:22" outlineLevel="2" x14ac:dyDescent="0.25">
      <c r="A98" s="209">
        <v>3322</v>
      </c>
      <c r="B98" s="209">
        <v>5179</v>
      </c>
      <c r="C98" s="209">
        <v>2049</v>
      </c>
      <c r="D98" s="209">
        <v>42655</v>
      </c>
      <c r="E98" s="209">
        <v>0</v>
      </c>
      <c r="F98" s="210">
        <v>0</v>
      </c>
      <c r="G98" s="209">
        <v>0</v>
      </c>
      <c r="H98" s="209">
        <v>0</v>
      </c>
      <c r="I98" s="209">
        <v>0</v>
      </c>
      <c r="J98" s="324" t="str">
        <f t="shared" si="9"/>
        <v>3322/5179/2049/42655/0/0/0/0/0</v>
      </c>
      <c r="K98" s="324" t="s">
        <v>5057</v>
      </c>
      <c r="L98" s="206" t="s">
        <v>230</v>
      </c>
      <c r="M98" s="206">
        <v>200000</v>
      </c>
      <c r="N98" s="206">
        <v>100000</v>
      </c>
      <c r="O98" s="206">
        <v>100000</v>
      </c>
      <c r="P98" s="206">
        <v>100000</v>
      </c>
      <c r="Q98" s="206">
        <v>100000</v>
      </c>
      <c r="R98" s="206">
        <v>100000</v>
      </c>
      <c r="S98" s="206">
        <v>100000</v>
      </c>
      <c r="T98" s="206"/>
      <c r="U98" s="531"/>
    </row>
    <row r="99" spans="1:22" outlineLevel="2" x14ac:dyDescent="0.25">
      <c r="A99" s="209">
        <v>2143</v>
      </c>
      <c r="B99" s="209">
        <v>5179</v>
      </c>
      <c r="C99" s="209">
        <v>2049</v>
      </c>
      <c r="D99" s="209">
        <v>49829</v>
      </c>
      <c r="E99" s="209">
        <v>0</v>
      </c>
      <c r="F99" s="210">
        <v>0</v>
      </c>
      <c r="G99" s="209">
        <v>0</v>
      </c>
      <c r="H99" s="209">
        <v>0</v>
      </c>
      <c r="I99" s="209">
        <v>0</v>
      </c>
      <c r="J99" s="324" t="str">
        <f t="shared" si="9"/>
        <v>2143/5179/2049/49829/0/0/0/0/0</v>
      </c>
      <c r="K99" s="324" t="s">
        <v>5058</v>
      </c>
      <c r="L99" s="206">
        <v>52864.05</v>
      </c>
      <c r="M99" s="206">
        <v>56327.63</v>
      </c>
      <c r="N99" s="206">
        <v>57773.42</v>
      </c>
      <c r="O99" s="206">
        <v>53854.68</v>
      </c>
      <c r="P99" s="206">
        <v>27041.74</v>
      </c>
      <c r="Q99" s="206">
        <v>60000</v>
      </c>
      <c r="R99" s="206">
        <v>54996.23</v>
      </c>
      <c r="S99" s="206">
        <v>60000</v>
      </c>
      <c r="T99" s="206"/>
      <c r="U99" s="531"/>
    </row>
    <row r="100" spans="1:22" outlineLevel="2" x14ac:dyDescent="0.25">
      <c r="A100" s="216">
        <v>2199</v>
      </c>
      <c r="B100" s="216">
        <v>5212</v>
      </c>
      <c r="C100" s="216">
        <v>2049</v>
      </c>
      <c r="D100" s="216">
        <v>0</v>
      </c>
      <c r="E100" s="216">
        <v>0</v>
      </c>
      <c r="F100" s="216">
        <v>0</v>
      </c>
      <c r="G100" s="216">
        <v>0</v>
      </c>
      <c r="H100" s="216">
        <v>0</v>
      </c>
      <c r="I100" s="216">
        <v>0</v>
      </c>
      <c r="J100" s="322" t="str">
        <f t="shared" si="9"/>
        <v>2199/5212/2049/0/0/0/0/0/0</v>
      </c>
      <c r="K100" s="322" t="s">
        <v>3821</v>
      </c>
      <c r="L100" s="345"/>
      <c r="M100" s="345"/>
      <c r="N100" s="345"/>
      <c r="O100" s="345">
        <v>990000</v>
      </c>
      <c r="P100" s="345"/>
      <c r="Q100" s="345"/>
      <c r="R100" s="345"/>
      <c r="S100" s="345"/>
      <c r="T100" s="345"/>
      <c r="U100" s="531"/>
    </row>
    <row r="101" spans="1:22" s="59" customFormat="1" ht="60" outlineLevel="2" x14ac:dyDescent="0.25">
      <c r="A101" s="208">
        <v>2143</v>
      </c>
      <c r="B101" s="208">
        <v>5331</v>
      </c>
      <c r="C101" s="208">
        <v>2049</v>
      </c>
      <c r="D101" s="208">
        <v>52515</v>
      </c>
      <c r="E101" s="208">
        <v>0</v>
      </c>
      <c r="F101" s="438">
        <v>0</v>
      </c>
      <c r="G101" s="208">
        <v>0</v>
      </c>
      <c r="H101" s="208">
        <v>0</v>
      </c>
      <c r="I101" s="208">
        <v>0</v>
      </c>
      <c r="J101" s="325" t="str">
        <f t="shared" si="9"/>
        <v>2143/5331/2049/52515/0/0/0/0/0</v>
      </c>
      <c r="K101" s="325" t="s">
        <v>189</v>
      </c>
      <c r="L101" s="347">
        <v>120000</v>
      </c>
      <c r="M101" s="347">
        <v>1291000</v>
      </c>
      <c r="N101" s="347">
        <v>2047000</v>
      </c>
      <c r="O101" s="347">
        <v>1580000</v>
      </c>
      <c r="P101" s="347">
        <v>2110000</v>
      </c>
      <c r="Q101" s="347">
        <f>2076300+230700</f>
        <v>2307000</v>
      </c>
      <c r="R101" s="347">
        <v>2307000</v>
      </c>
      <c r="S101" s="347">
        <v>2665917</v>
      </c>
      <c r="T101" s="347">
        <v>54407</v>
      </c>
      <c r="U101" s="530" t="s">
        <v>4786</v>
      </c>
      <c r="V101" s="351"/>
    </row>
    <row r="102" spans="1:22" outlineLevel="2" x14ac:dyDescent="0.25">
      <c r="A102" s="193">
        <v>3319</v>
      </c>
      <c r="B102" s="193">
        <v>5169</v>
      </c>
      <c r="C102" s="193">
        <v>2049</v>
      </c>
      <c r="D102" s="193">
        <v>0</v>
      </c>
      <c r="E102" s="193">
        <v>0</v>
      </c>
      <c r="F102" s="193">
        <v>0</v>
      </c>
      <c r="G102" s="193">
        <v>0</v>
      </c>
      <c r="H102" s="193">
        <v>2</v>
      </c>
      <c r="I102" s="193">
        <v>0</v>
      </c>
      <c r="J102" s="321" t="str">
        <f t="shared" si="9"/>
        <v>3319/5169/2049/0/0/0/0/2/0</v>
      </c>
      <c r="K102" s="321" t="s">
        <v>5103</v>
      </c>
      <c r="L102" s="201"/>
      <c r="M102" s="201"/>
      <c r="N102" s="201"/>
      <c r="O102" s="201"/>
      <c r="P102" s="201"/>
      <c r="Q102" s="201"/>
      <c r="R102" s="201"/>
      <c r="S102" s="201">
        <v>150000</v>
      </c>
      <c r="T102" s="201"/>
      <c r="U102" s="403" t="s">
        <v>4810</v>
      </c>
    </row>
    <row r="103" spans="1:22" outlineLevel="2" x14ac:dyDescent="0.25">
      <c r="A103" s="209">
        <v>2143</v>
      </c>
      <c r="B103" s="209">
        <v>5179</v>
      </c>
      <c r="C103" s="209">
        <v>2049</v>
      </c>
      <c r="D103" s="209">
        <v>18000</v>
      </c>
      <c r="E103" s="209">
        <v>0</v>
      </c>
      <c r="F103" s="210">
        <v>0</v>
      </c>
      <c r="G103" s="209">
        <v>0</v>
      </c>
      <c r="H103" s="209">
        <v>0</v>
      </c>
      <c r="I103" s="209">
        <v>0</v>
      </c>
      <c r="J103" s="324" t="str">
        <f t="shared" si="9"/>
        <v>2143/5179/2049/18000/0/0/0/0/0</v>
      </c>
      <c r="K103" s="324" t="s">
        <v>5059</v>
      </c>
      <c r="L103" s="206"/>
      <c r="M103" s="206">
        <v>205000</v>
      </c>
      <c r="N103" s="206">
        <v>205000</v>
      </c>
      <c r="O103" s="206">
        <v>205000</v>
      </c>
      <c r="P103" s="206">
        <v>208200</v>
      </c>
      <c r="Q103" s="206">
        <v>204500</v>
      </c>
      <c r="R103" s="206">
        <v>204500</v>
      </c>
      <c r="S103" s="206">
        <v>214170</v>
      </c>
      <c r="T103" s="206"/>
      <c r="U103" s="531" t="s">
        <v>4781</v>
      </c>
    </row>
    <row r="104" spans="1:22" outlineLevel="2" x14ac:dyDescent="0.25">
      <c r="A104" s="188">
        <v>0</v>
      </c>
      <c r="B104" s="188">
        <v>5000</v>
      </c>
      <c r="C104" s="188">
        <v>2049</v>
      </c>
      <c r="D104" s="188">
        <v>0</v>
      </c>
      <c r="E104" s="188">
        <v>0</v>
      </c>
      <c r="F104" s="439">
        <v>0</v>
      </c>
      <c r="G104" s="188">
        <v>0</v>
      </c>
      <c r="H104" s="188">
        <v>0</v>
      </c>
      <c r="I104" s="188">
        <v>0</v>
      </c>
      <c r="J104" s="329" t="str">
        <f t="shared" si="9"/>
        <v>0/5000/2049/0/0/0/0/0/0</v>
      </c>
      <c r="K104" s="329" t="s">
        <v>190</v>
      </c>
      <c r="L104" s="350">
        <f>1500+600000+5800</f>
        <v>607300</v>
      </c>
      <c r="M104" s="350">
        <f>78877.47+196+6805</f>
        <v>85878.47</v>
      </c>
      <c r="N104" s="350">
        <f>34206+400</f>
        <v>34606</v>
      </c>
      <c r="O104" s="350">
        <f>24580</f>
        <v>24580</v>
      </c>
      <c r="P104" s="350">
        <v>2980</v>
      </c>
      <c r="Q104" s="350"/>
      <c r="R104" s="350">
        <v>150000</v>
      </c>
      <c r="S104" s="201"/>
      <c r="T104" s="201"/>
      <c r="U104" s="403"/>
    </row>
    <row r="105" spans="1:22" ht="30" outlineLevel="1" x14ac:dyDescent="0.25">
      <c r="A105" s="495"/>
      <c r="B105" s="495"/>
      <c r="C105" s="496" t="s">
        <v>4662</v>
      </c>
      <c r="D105" s="495"/>
      <c r="E105" s="495"/>
      <c r="F105" s="497"/>
      <c r="G105" s="495"/>
      <c r="H105" s="495"/>
      <c r="I105" s="495"/>
      <c r="J105" s="493">
        <v>2049</v>
      </c>
      <c r="K105" s="516" t="str">
        <f>VLOOKUP(J105,orJ_správce_telefon_mail!A:B,2,0)</f>
        <v>Odbor cestovního ruchu, školství a kultury - vedoucí oddělení cestovního ruchu a vnějších vztahů - Bc. K. Šimonová</v>
      </c>
      <c r="L105" s="498">
        <f t="shared" ref="L105:T105" si="10">SUBTOTAL(9,L83:L104)</f>
        <v>2559593.21</v>
      </c>
      <c r="M105" s="498">
        <f t="shared" si="10"/>
        <v>3532643.7500000005</v>
      </c>
      <c r="N105" s="498">
        <f t="shared" si="10"/>
        <v>3743795.95</v>
      </c>
      <c r="O105" s="498">
        <f t="shared" si="10"/>
        <v>3842545.47</v>
      </c>
      <c r="P105" s="498">
        <f t="shared" si="10"/>
        <v>3926716.29</v>
      </c>
      <c r="Q105" s="498">
        <f t="shared" si="10"/>
        <v>3740500</v>
      </c>
      <c r="R105" s="498">
        <f t="shared" si="10"/>
        <v>4090500</v>
      </c>
      <c r="S105" s="494">
        <f t="shared" si="10"/>
        <v>5371198</v>
      </c>
      <c r="T105" s="494">
        <f t="shared" si="10"/>
        <v>195407</v>
      </c>
      <c r="U105" s="541"/>
    </row>
    <row r="106" spans="1:22" outlineLevel="2" x14ac:dyDescent="0.25">
      <c r="A106" s="193">
        <v>3322</v>
      </c>
      <c r="B106" s="193">
        <v>5011</v>
      </c>
      <c r="C106" s="193">
        <v>2050</v>
      </c>
      <c r="D106" s="193">
        <v>11003</v>
      </c>
      <c r="E106" s="193">
        <v>0</v>
      </c>
      <c r="F106" s="194">
        <v>0</v>
      </c>
      <c r="G106" s="193">
        <v>0</v>
      </c>
      <c r="H106" s="193">
        <v>0</v>
      </c>
      <c r="I106" s="193">
        <v>0</v>
      </c>
      <c r="J106" s="321" t="str">
        <f t="shared" ref="J106:J137" si="11">CONCATENATE(A106,"/",B106,"/",C106,"/",D106,"/",E106,"/",F106,"/",G106,"/",H106,"/",I106)</f>
        <v>3322/5011/2050/11003/0/0/0/0/0</v>
      </c>
      <c r="K106" s="321" t="s">
        <v>3709</v>
      </c>
      <c r="L106" s="201">
        <v>106963</v>
      </c>
      <c r="M106" s="201">
        <v>109346</v>
      </c>
      <c r="N106" s="201">
        <v>88322</v>
      </c>
      <c r="O106" s="201">
        <v>108066</v>
      </c>
      <c r="P106" s="201">
        <v>116369</v>
      </c>
      <c r="Q106" s="201">
        <v>114220</v>
      </c>
      <c r="R106" s="201">
        <v>114220</v>
      </c>
      <c r="S106" s="317">
        <v>117264</v>
      </c>
      <c r="T106" s="201"/>
      <c r="U106" s="403"/>
    </row>
    <row r="107" spans="1:22" outlineLevel="2" x14ac:dyDescent="0.25">
      <c r="A107" s="193">
        <v>3322</v>
      </c>
      <c r="B107" s="193">
        <v>5031</v>
      </c>
      <c r="C107" s="193">
        <v>2050</v>
      </c>
      <c r="D107" s="193">
        <v>11003</v>
      </c>
      <c r="E107" s="193">
        <v>0</v>
      </c>
      <c r="F107" s="194">
        <v>0</v>
      </c>
      <c r="G107" s="193">
        <v>0</v>
      </c>
      <c r="H107" s="193">
        <v>0</v>
      </c>
      <c r="I107" s="193">
        <v>0</v>
      </c>
      <c r="J107" s="321" t="str">
        <f t="shared" si="11"/>
        <v>3322/5031/2050/11003/0/0/0/0/0</v>
      </c>
      <c r="K107" s="321" t="s">
        <v>192</v>
      </c>
      <c r="L107" s="201">
        <v>26740</v>
      </c>
      <c r="M107" s="201">
        <v>27229</v>
      </c>
      <c r="N107" s="201">
        <v>21905</v>
      </c>
      <c r="O107" s="201">
        <v>26801</v>
      </c>
      <c r="P107" s="201">
        <v>28860</v>
      </c>
      <c r="Q107" s="201">
        <v>28330</v>
      </c>
      <c r="R107" s="201">
        <v>28330</v>
      </c>
      <c r="S107" s="317">
        <v>29082</v>
      </c>
      <c r="T107" s="201"/>
      <c r="U107" s="403"/>
    </row>
    <row r="108" spans="1:22" outlineLevel="2" x14ac:dyDescent="0.25">
      <c r="A108" s="193">
        <v>3322</v>
      </c>
      <c r="B108" s="193">
        <v>5032</v>
      </c>
      <c r="C108" s="193">
        <v>2050</v>
      </c>
      <c r="D108" s="193">
        <v>11003</v>
      </c>
      <c r="E108" s="193">
        <v>0</v>
      </c>
      <c r="F108" s="194">
        <v>0</v>
      </c>
      <c r="G108" s="193">
        <v>0</v>
      </c>
      <c r="H108" s="193">
        <v>0</v>
      </c>
      <c r="I108" s="193">
        <v>0</v>
      </c>
      <c r="J108" s="321" t="str">
        <f t="shared" si="11"/>
        <v>3322/5032/2050/11003/0/0/0/0/0</v>
      </c>
      <c r="K108" s="321" t="s">
        <v>193</v>
      </c>
      <c r="L108" s="201">
        <v>9629</v>
      </c>
      <c r="M108" s="201">
        <v>9841</v>
      </c>
      <c r="N108" s="201">
        <v>7949</v>
      </c>
      <c r="O108" s="201">
        <v>9722</v>
      </c>
      <c r="P108" s="201">
        <v>10473</v>
      </c>
      <c r="Q108" s="201">
        <v>10280</v>
      </c>
      <c r="R108" s="201">
        <v>10280</v>
      </c>
      <c r="S108" s="317">
        <v>10554</v>
      </c>
      <c r="T108" s="201"/>
      <c r="U108" s="403"/>
    </row>
    <row r="109" spans="1:22" outlineLevel="2" x14ac:dyDescent="0.25">
      <c r="A109" s="193">
        <v>6402</v>
      </c>
      <c r="B109" s="193">
        <v>5364</v>
      </c>
      <c r="C109" s="193">
        <v>2050</v>
      </c>
      <c r="D109" s="193">
        <v>0</v>
      </c>
      <c r="E109" s="193">
        <v>0</v>
      </c>
      <c r="F109" s="194">
        <v>98032</v>
      </c>
      <c r="G109" s="193">
        <v>0</v>
      </c>
      <c r="H109" s="193">
        <v>0</v>
      </c>
      <c r="I109" s="193">
        <v>0</v>
      </c>
      <c r="J109" s="321" t="str">
        <f t="shared" si="11"/>
        <v>6402/5364/2050/0/0/98032/0/0/0</v>
      </c>
      <c r="K109" s="321" t="s">
        <v>4390</v>
      </c>
      <c r="L109" s="201"/>
      <c r="M109" s="201"/>
      <c r="N109" s="201"/>
      <c r="O109" s="201"/>
      <c r="P109" s="201"/>
      <c r="Q109" s="201"/>
      <c r="R109" s="201"/>
      <c r="S109" s="201"/>
      <c r="T109" s="201"/>
      <c r="U109" s="403"/>
    </row>
    <row r="110" spans="1:22" outlineLevel="2" x14ac:dyDescent="0.25">
      <c r="A110" s="193">
        <v>3412</v>
      </c>
      <c r="B110" s="193">
        <v>5011</v>
      </c>
      <c r="C110" s="193">
        <v>2050</v>
      </c>
      <c r="D110" s="193">
        <v>16805</v>
      </c>
      <c r="E110" s="193">
        <v>0</v>
      </c>
      <c r="F110" s="194">
        <v>0</v>
      </c>
      <c r="G110" s="193">
        <v>0</v>
      </c>
      <c r="H110" s="193">
        <v>0</v>
      </c>
      <c r="I110" s="193">
        <v>0</v>
      </c>
      <c r="J110" s="321" t="str">
        <f t="shared" si="11"/>
        <v>3412/5011/2050/16805/0/0/0/0/0</v>
      </c>
      <c r="K110" s="321" t="s">
        <v>5060</v>
      </c>
      <c r="L110" s="200"/>
      <c r="M110" s="200"/>
      <c r="N110" s="200"/>
      <c r="O110" s="200"/>
      <c r="P110" s="200"/>
      <c r="Q110" s="200"/>
      <c r="R110" s="200"/>
      <c r="S110" s="200">
        <v>756000</v>
      </c>
      <c r="T110" s="200"/>
      <c r="U110" s="403"/>
    </row>
    <row r="111" spans="1:22" outlineLevel="2" x14ac:dyDescent="0.25">
      <c r="A111" s="193">
        <v>3412</v>
      </c>
      <c r="B111" s="193">
        <v>5031</v>
      </c>
      <c r="C111" s="193">
        <v>2050</v>
      </c>
      <c r="D111" s="193">
        <v>16805</v>
      </c>
      <c r="E111" s="193">
        <v>0</v>
      </c>
      <c r="F111" s="194">
        <v>0</v>
      </c>
      <c r="G111" s="193">
        <v>0</v>
      </c>
      <c r="H111" s="193">
        <v>0</v>
      </c>
      <c r="I111" s="193">
        <v>0</v>
      </c>
      <c r="J111" s="321" t="str">
        <f t="shared" si="11"/>
        <v>3412/5031/2050/16805/0/0/0/0/0</v>
      </c>
      <c r="K111" s="321" t="s">
        <v>5061</v>
      </c>
      <c r="L111" s="200"/>
      <c r="M111" s="200"/>
      <c r="N111" s="200"/>
      <c r="O111" s="200"/>
      <c r="P111" s="200"/>
      <c r="Q111" s="200"/>
      <c r="R111" s="200"/>
      <c r="S111" s="200">
        <v>187488</v>
      </c>
      <c r="T111" s="200"/>
      <c r="U111" s="403"/>
    </row>
    <row r="112" spans="1:22" outlineLevel="2" x14ac:dyDescent="0.25">
      <c r="A112" s="193">
        <v>3412</v>
      </c>
      <c r="B112" s="193">
        <v>5032</v>
      </c>
      <c r="C112" s="193">
        <v>2050</v>
      </c>
      <c r="D112" s="193">
        <v>16805</v>
      </c>
      <c r="E112" s="193">
        <v>0</v>
      </c>
      <c r="F112" s="194">
        <v>0</v>
      </c>
      <c r="G112" s="193">
        <v>0</v>
      </c>
      <c r="H112" s="193">
        <v>0</v>
      </c>
      <c r="I112" s="193">
        <v>0</v>
      </c>
      <c r="J112" s="321" t="str">
        <f t="shared" si="11"/>
        <v>3412/5032/2050/16805/0/0/0/0/0</v>
      </c>
      <c r="K112" s="321" t="s">
        <v>5062</v>
      </c>
      <c r="L112" s="200"/>
      <c r="M112" s="200"/>
      <c r="N112" s="200"/>
      <c r="O112" s="200"/>
      <c r="P112" s="200"/>
      <c r="Q112" s="200"/>
      <c r="R112" s="200"/>
      <c r="S112" s="200">
        <v>68040</v>
      </c>
      <c r="T112" s="200"/>
      <c r="U112" s="403"/>
    </row>
    <row r="113" spans="1:22" ht="40.5" customHeight="1" outlineLevel="2" x14ac:dyDescent="0.25">
      <c r="A113" s="194">
        <v>6171</v>
      </c>
      <c r="B113" s="193">
        <v>5424</v>
      </c>
      <c r="C113" s="193">
        <v>2050</v>
      </c>
      <c r="D113" s="193">
        <v>18667</v>
      </c>
      <c r="E113" s="193">
        <v>0</v>
      </c>
      <c r="F113" s="194">
        <v>0</v>
      </c>
      <c r="G113" s="193">
        <v>0</v>
      </c>
      <c r="H113" s="193">
        <v>0</v>
      </c>
      <c r="I113" s="193">
        <v>0</v>
      </c>
      <c r="J113" s="321" t="str">
        <f t="shared" si="11"/>
        <v>6171/5424/2050/18667/0/0/0/0/0</v>
      </c>
      <c r="K113" s="321" t="s">
        <v>3830</v>
      </c>
      <c r="L113" s="201">
        <v>1478</v>
      </c>
      <c r="M113" s="201">
        <v>8779</v>
      </c>
      <c r="N113" s="201">
        <f>6762+5452</f>
        <v>12214</v>
      </c>
      <c r="O113" s="201">
        <v>24573</v>
      </c>
      <c r="P113" s="201">
        <v>53565</v>
      </c>
      <c r="Q113" s="201">
        <v>21000</v>
      </c>
      <c r="R113" s="201">
        <v>21000</v>
      </c>
      <c r="S113" s="201">
        <v>21000</v>
      </c>
      <c r="T113" s="201"/>
      <c r="U113" s="403"/>
    </row>
    <row r="114" spans="1:22" outlineLevel="2" x14ac:dyDescent="0.25">
      <c r="A114" s="194">
        <v>6171</v>
      </c>
      <c r="B114" s="193">
        <v>5021</v>
      </c>
      <c r="C114" s="193">
        <v>2050</v>
      </c>
      <c r="D114" s="193">
        <v>18667</v>
      </c>
      <c r="E114" s="193">
        <v>0</v>
      </c>
      <c r="F114" s="194">
        <v>0</v>
      </c>
      <c r="G114" s="193">
        <v>0</v>
      </c>
      <c r="H114" s="193">
        <v>0</v>
      </c>
      <c r="I114" s="193">
        <v>0</v>
      </c>
      <c r="J114" s="321" t="str">
        <f t="shared" si="11"/>
        <v>6171/5021/2050/18667/0/0/0/0/0</v>
      </c>
      <c r="K114" s="321" t="s">
        <v>3834</v>
      </c>
      <c r="L114" s="201">
        <v>80920</v>
      </c>
      <c r="M114" s="201">
        <v>101380</v>
      </c>
      <c r="N114" s="201">
        <v>68850</v>
      </c>
      <c r="O114" s="201">
        <v>56900</v>
      </c>
      <c r="P114" s="201">
        <v>127740</v>
      </c>
      <c r="Q114" s="201">
        <v>70000</v>
      </c>
      <c r="R114" s="201">
        <v>70000</v>
      </c>
      <c r="S114" s="201">
        <v>150000</v>
      </c>
      <c r="T114" s="201"/>
      <c r="U114" s="403"/>
    </row>
    <row r="115" spans="1:22" outlineLevel="2" x14ac:dyDescent="0.25">
      <c r="A115" s="194">
        <v>6171</v>
      </c>
      <c r="B115" s="193">
        <v>5011</v>
      </c>
      <c r="C115" s="193">
        <v>2050</v>
      </c>
      <c r="D115" s="193">
        <v>18667</v>
      </c>
      <c r="E115" s="193">
        <v>0</v>
      </c>
      <c r="F115" s="194">
        <v>0</v>
      </c>
      <c r="G115" s="193">
        <v>0</v>
      </c>
      <c r="H115" s="193">
        <v>0</v>
      </c>
      <c r="I115" s="193">
        <v>0</v>
      </c>
      <c r="J115" s="321" t="str">
        <f t="shared" si="11"/>
        <v>6171/5011/2050/18667/0/0/0/0/0</v>
      </c>
      <c r="K115" s="321" t="s">
        <v>3831</v>
      </c>
      <c r="L115" s="201">
        <v>1770002</v>
      </c>
      <c r="M115" s="201">
        <v>1845541</v>
      </c>
      <c r="N115" s="201">
        <v>1981968</v>
      </c>
      <c r="O115" s="201">
        <v>2137761</v>
      </c>
      <c r="P115" s="201">
        <v>2820321</v>
      </c>
      <c r="Q115" s="201">
        <v>2942880</v>
      </c>
      <c r="R115" s="201">
        <v>2942880</v>
      </c>
      <c r="S115" s="201">
        <v>3046560</v>
      </c>
      <c r="T115" s="201"/>
      <c r="U115" s="403"/>
    </row>
    <row r="116" spans="1:22" outlineLevel="2" x14ac:dyDescent="0.25">
      <c r="A116" s="194">
        <v>6171</v>
      </c>
      <c r="B116" s="193">
        <v>5031</v>
      </c>
      <c r="C116" s="193">
        <v>2050</v>
      </c>
      <c r="D116" s="193">
        <v>18667</v>
      </c>
      <c r="E116" s="193">
        <v>0</v>
      </c>
      <c r="F116" s="194">
        <v>0</v>
      </c>
      <c r="G116" s="193">
        <v>0</v>
      </c>
      <c r="H116" s="193">
        <v>0</v>
      </c>
      <c r="I116" s="193">
        <v>0</v>
      </c>
      <c r="J116" s="321" t="str">
        <f t="shared" si="11"/>
        <v>6171/5031/2050/18667/0/0/0/0/0</v>
      </c>
      <c r="K116" s="321" t="s">
        <v>3832</v>
      </c>
      <c r="L116" s="201">
        <v>446511</v>
      </c>
      <c r="M116" s="201">
        <v>460751</v>
      </c>
      <c r="N116" s="201">
        <v>495260</v>
      </c>
      <c r="O116" s="201">
        <v>530179</v>
      </c>
      <c r="P116" s="201">
        <v>696128</v>
      </c>
      <c r="Q116" s="201">
        <v>729840</v>
      </c>
      <c r="R116" s="201">
        <v>729840</v>
      </c>
      <c r="S116" s="201">
        <v>755547</v>
      </c>
      <c r="T116" s="201"/>
      <c r="U116" s="403"/>
    </row>
    <row r="117" spans="1:22" outlineLevel="2" x14ac:dyDescent="0.25">
      <c r="A117" s="194">
        <v>6171</v>
      </c>
      <c r="B117" s="193">
        <v>5032</v>
      </c>
      <c r="C117" s="193">
        <v>2050</v>
      </c>
      <c r="D117" s="193">
        <v>18667</v>
      </c>
      <c r="E117" s="193">
        <v>0</v>
      </c>
      <c r="F117" s="194">
        <v>0</v>
      </c>
      <c r="G117" s="193">
        <v>0</v>
      </c>
      <c r="H117" s="193">
        <v>0</v>
      </c>
      <c r="I117" s="193">
        <v>0</v>
      </c>
      <c r="J117" s="321" t="str">
        <f t="shared" si="11"/>
        <v>6171/5032/2050/18667/0/0/0/0/0</v>
      </c>
      <c r="K117" s="321" t="s">
        <v>3833</v>
      </c>
      <c r="L117" s="201">
        <v>160746</v>
      </c>
      <c r="M117" s="201">
        <v>166547</v>
      </c>
      <c r="N117" s="201">
        <v>179724</v>
      </c>
      <c r="O117" s="201">
        <v>192398</v>
      </c>
      <c r="P117" s="201">
        <v>254637</v>
      </c>
      <c r="Q117" s="201">
        <v>264860</v>
      </c>
      <c r="R117" s="201">
        <v>264860</v>
      </c>
      <c r="S117" s="201">
        <v>274191</v>
      </c>
      <c r="T117" s="201"/>
      <c r="U117" s="403"/>
    </row>
    <row r="118" spans="1:22" outlineLevel="2" x14ac:dyDescent="0.25">
      <c r="A118" s="194">
        <v>3412</v>
      </c>
      <c r="B118" s="194">
        <v>5424</v>
      </c>
      <c r="C118" s="194">
        <v>2050</v>
      </c>
      <c r="D118" s="194">
        <v>16421</v>
      </c>
      <c r="E118" s="194">
        <v>0</v>
      </c>
      <c r="F118" s="194">
        <v>0</v>
      </c>
      <c r="G118" s="194">
        <v>0</v>
      </c>
      <c r="H118" s="194">
        <v>0</v>
      </c>
      <c r="I118" s="194">
        <v>0</v>
      </c>
      <c r="J118" s="320" t="str">
        <f t="shared" si="11"/>
        <v>3412/5424/2050/16421/0/0/0/0/0</v>
      </c>
      <c r="K118" s="320" t="s">
        <v>194</v>
      </c>
      <c r="L118" s="201"/>
      <c r="M118" s="201"/>
      <c r="N118" s="201">
        <v>3772</v>
      </c>
      <c r="O118" s="201"/>
      <c r="P118" s="201"/>
      <c r="Q118" s="201">
        <v>20000</v>
      </c>
      <c r="R118" s="201">
        <v>20000</v>
      </c>
      <c r="S118" s="201">
        <v>20000</v>
      </c>
      <c r="T118" s="201"/>
      <c r="U118" s="403"/>
    </row>
    <row r="119" spans="1:22" s="59" customFormat="1" outlineLevel="2" x14ac:dyDescent="0.25">
      <c r="A119" s="193">
        <v>3412</v>
      </c>
      <c r="B119" s="193">
        <v>5021</v>
      </c>
      <c r="C119" s="193">
        <v>2050</v>
      </c>
      <c r="D119" s="193">
        <v>16421</v>
      </c>
      <c r="E119" s="193">
        <v>0</v>
      </c>
      <c r="F119" s="194">
        <v>0</v>
      </c>
      <c r="G119" s="193">
        <v>0</v>
      </c>
      <c r="H119" s="193">
        <v>0</v>
      </c>
      <c r="I119" s="193">
        <v>0</v>
      </c>
      <c r="J119" s="321" t="str">
        <f t="shared" si="11"/>
        <v>3412/5021/2050/16421/0/0/0/0/0</v>
      </c>
      <c r="K119" s="321" t="s">
        <v>195</v>
      </c>
      <c r="L119" s="201"/>
      <c r="M119" s="201">
        <v>23490</v>
      </c>
      <c r="N119" s="201">
        <v>10335</v>
      </c>
      <c r="O119" s="201">
        <v>14070</v>
      </c>
      <c r="P119" s="201">
        <v>82710</v>
      </c>
      <c r="Q119" s="201">
        <v>180000</v>
      </c>
      <c r="R119" s="201">
        <v>180000</v>
      </c>
      <c r="S119" s="201">
        <v>40000</v>
      </c>
      <c r="T119" s="201"/>
      <c r="U119" s="403"/>
      <c r="V119" s="351"/>
    </row>
    <row r="120" spans="1:22" outlineLevel="2" x14ac:dyDescent="0.25">
      <c r="A120" s="194">
        <v>3412</v>
      </c>
      <c r="B120" s="194">
        <v>5011</v>
      </c>
      <c r="C120" s="194">
        <v>2050</v>
      </c>
      <c r="D120" s="194">
        <v>16421</v>
      </c>
      <c r="E120" s="194">
        <v>0</v>
      </c>
      <c r="F120" s="194">
        <v>0</v>
      </c>
      <c r="G120" s="194">
        <v>0</v>
      </c>
      <c r="H120" s="194">
        <v>0</v>
      </c>
      <c r="I120" s="194">
        <v>0</v>
      </c>
      <c r="J120" s="320" t="str">
        <f t="shared" si="11"/>
        <v>3412/5011/2050/16421/0/0/0/0/0</v>
      </c>
      <c r="K120" s="320" t="s">
        <v>3710</v>
      </c>
      <c r="L120" s="201">
        <v>669481</v>
      </c>
      <c r="M120" s="201">
        <v>1277289</v>
      </c>
      <c r="N120" s="201">
        <v>1256216</v>
      </c>
      <c r="O120" s="201">
        <v>1351472</v>
      </c>
      <c r="P120" s="201">
        <v>1484775</v>
      </c>
      <c r="Q120" s="201">
        <v>1576520</v>
      </c>
      <c r="R120" s="201">
        <v>1576520</v>
      </c>
      <c r="S120" s="201">
        <v>1576520</v>
      </c>
      <c r="T120" s="201"/>
      <c r="U120" s="403"/>
    </row>
    <row r="121" spans="1:22" outlineLevel="2" x14ac:dyDescent="0.25">
      <c r="A121" s="194">
        <v>3412</v>
      </c>
      <c r="B121" s="194">
        <v>5031</v>
      </c>
      <c r="C121" s="194">
        <v>2050</v>
      </c>
      <c r="D121" s="194">
        <v>16421</v>
      </c>
      <c r="E121" s="194">
        <v>0</v>
      </c>
      <c r="F121" s="194">
        <v>0</v>
      </c>
      <c r="G121" s="194">
        <v>0</v>
      </c>
      <c r="H121" s="194">
        <v>0</v>
      </c>
      <c r="I121" s="194">
        <v>0</v>
      </c>
      <c r="J121" s="320" t="str">
        <f t="shared" si="11"/>
        <v>3412/5031/2050/16421/0/0/0/0/0</v>
      </c>
      <c r="K121" s="320" t="s">
        <v>196</v>
      </c>
      <c r="L121" s="201">
        <v>167368</v>
      </c>
      <c r="M121" s="201">
        <v>317959</v>
      </c>
      <c r="N121" s="201">
        <v>311546</v>
      </c>
      <c r="O121" s="201">
        <v>335170</v>
      </c>
      <c r="P121" s="201">
        <v>375017</v>
      </c>
      <c r="Q121" s="201">
        <v>390980</v>
      </c>
      <c r="R121" s="201">
        <v>390980</v>
      </c>
      <c r="S121" s="201">
        <v>390977</v>
      </c>
      <c r="T121" s="201"/>
      <c r="U121" s="403"/>
    </row>
    <row r="122" spans="1:22" outlineLevel="2" x14ac:dyDescent="0.25">
      <c r="A122" s="194">
        <v>3412</v>
      </c>
      <c r="B122" s="194">
        <v>5032</v>
      </c>
      <c r="C122" s="194">
        <v>2050</v>
      </c>
      <c r="D122" s="194">
        <v>16421</v>
      </c>
      <c r="E122" s="194">
        <v>0</v>
      </c>
      <c r="F122" s="194">
        <v>0</v>
      </c>
      <c r="G122" s="194">
        <v>0</v>
      </c>
      <c r="H122" s="194">
        <v>0</v>
      </c>
      <c r="I122" s="194">
        <v>0</v>
      </c>
      <c r="J122" s="320" t="str">
        <f t="shared" si="11"/>
        <v>3412/5032/2050/16421/0/0/0/0/0</v>
      </c>
      <c r="K122" s="320" t="s">
        <v>197</v>
      </c>
      <c r="L122" s="201">
        <v>60253</v>
      </c>
      <c r="M122" s="201">
        <v>114955</v>
      </c>
      <c r="N122" s="201">
        <v>113058</v>
      </c>
      <c r="O122" s="201">
        <v>121632</v>
      </c>
      <c r="P122" s="201">
        <v>136093</v>
      </c>
      <c r="Q122" s="201">
        <v>141890</v>
      </c>
      <c r="R122" s="201">
        <v>141890</v>
      </c>
      <c r="S122" s="201">
        <v>141887</v>
      </c>
      <c r="T122" s="201"/>
      <c r="U122" s="403"/>
    </row>
    <row r="123" spans="1:22" outlineLevel="2" x14ac:dyDescent="0.25">
      <c r="A123" s="193">
        <v>5213</v>
      </c>
      <c r="B123" s="193">
        <v>5133</v>
      </c>
      <c r="C123" s="193">
        <v>2050</v>
      </c>
      <c r="D123" s="193">
        <v>0</v>
      </c>
      <c r="E123" s="193">
        <v>0</v>
      </c>
      <c r="F123" s="194">
        <v>0</v>
      </c>
      <c r="G123" s="193">
        <v>0</v>
      </c>
      <c r="H123" s="193">
        <v>0</v>
      </c>
      <c r="I123" s="193">
        <v>0</v>
      </c>
      <c r="J123" s="321" t="str">
        <f t="shared" si="11"/>
        <v>5213/5133/2050/0/0/0/0/0/0</v>
      </c>
      <c r="K123" s="321" t="s">
        <v>4393</v>
      </c>
      <c r="L123" s="201"/>
      <c r="M123" s="201"/>
      <c r="N123" s="201"/>
      <c r="O123" s="201"/>
      <c r="P123" s="201">
        <v>80495</v>
      </c>
      <c r="Q123" s="201">
        <v>100000</v>
      </c>
      <c r="R123" s="201">
        <v>50000</v>
      </c>
      <c r="S123" s="201">
        <v>59000</v>
      </c>
      <c r="T123" s="201"/>
      <c r="U123" s="403"/>
    </row>
    <row r="124" spans="1:22" outlineLevel="2" x14ac:dyDescent="0.25">
      <c r="A124" s="186">
        <v>5213</v>
      </c>
      <c r="B124" s="186">
        <v>5903</v>
      </c>
      <c r="C124" s="186">
        <v>2050</v>
      </c>
      <c r="D124" s="186">
        <v>0</v>
      </c>
      <c r="E124" s="186">
        <v>0</v>
      </c>
      <c r="F124" s="186">
        <v>0</v>
      </c>
      <c r="G124" s="186">
        <v>0</v>
      </c>
      <c r="H124" s="186">
        <v>0</v>
      </c>
      <c r="I124" s="186">
        <v>0</v>
      </c>
      <c r="J124" s="331" t="str">
        <f t="shared" si="11"/>
        <v>5213/5903/2050/0/0/0/0/0/0</v>
      </c>
      <c r="K124" s="331" t="s">
        <v>290</v>
      </c>
      <c r="L124" s="352">
        <v>0</v>
      </c>
      <c r="M124" s="352">
        <v>43203</v>
      </c>
      <c r="N124" s="352">
        <v>1659878.9300000002</v>
      </c>
      <c r="O124" s="352">
        <v>333500.01</v>
      </c>
      <c r="P124" s="352"/>
      <c r="Q124" s="352">
        <v>250000</v>
      </c>
      <c r="R124" s="352">
        <v>96010</v>
      </c>
      <c r="S124" s="352">
        <v>190000</v>
      </c>
      <c r="T124" s="352"/>
      <c r="U124" s="403"/>
    </row>
    <row r="125" spans="1:22" outlineLevel="2" x14ac:dyDescent="0.25">
      <c r="A125" s="193">
        <v>3349</v>
      </c>
      <c r="B125" s="193">
        <v>5032</v>
      </c>
      <c r="C125" s="193">
        <v>2050</v>
      </c>
      <c r="D125" s="193">
        <v>0</v>
      </c>
      <c r="E125" s="193">
        <v>0</v>
      </c>
      <c r="F125" s="193">
        <v>0</v>
      </c>
      <c r="G125" s="193">
        <v>0</v>
      </c>
      <c r="H125" s="193">
        <v>0</v>
      </c>
      <c r="I125" s="193">
        <v>0</v>
      </c>
      <c r="J125" s="321" t="str">
        <f t="shared" si="11"/>
        <v>3349/5032/2050/0/0/0/0/0/0</v>
      </c>
      <c r="K125" s="321" t="s">
        <v>198</v>
      </c>
      <c r="L125" s="201">
        <v>999</v>
      </c>
      <c r="M125" s="201">
        <v>2538</v>
      </c>
      <c r="N125" s="201">
        <v>462</v>
      </c>
      <c r="O125" s="201">
        <v>1393</v>
      </c>
      <c r="P125" s="201"/>
      <c r="Q125" s="201">
        <v>5000</v>
      </c>
      <c r="R125" s="201">
        <v>5000</v>
      </c>
      <c r="S125" s="201"/>
      <c r="T125" s="201"/>
      <c r="U125" s="403"/>
    </row>
    <row r="126" spans="1:22" outlineLevel="2" x14ac:dyDescent="0.25">
      <c r="A126" s="194">
        <v>3349</v>
      </c>
      <c r="B126" s="194">
        <v>5021</v>
      </c>
      <c r="C126" s="194">
        <v>2050</v>
      </c>
      <c r="D126" s="194">
        <v>0</v>
      </c>
      <c r="E126" s="194">
        <v>0</v>
      </c>
      <c r="F126" s="194">
        <v>0</v>
      </c>
      <c r="G126" s="194">
        <v>0</v>
      </c>
      <c r="H126" s="194">
        <v>0</v>
      </c>
      <c r="I126" s="194">
        <v>0</v>
      </c>
      <c r="J126" s="320" t="str">
        <f t="shared" si="11"/>
        <v>3349/5021/2050/0/0/0/0/0/0</v>
      </c>
      <c r="K126" s="320" t="s">
        <v>199</v>
      </c>
      <c r="L126" s="201">
        <v>60620</v>
      </c>
      <c r="M126" s="201">
        <v>173930</v>
      </c>
      <c r="N126" s="201">
        <v>277485</v>
      </c>
      <c r="O126" s="201">
        <v>292770</v>
      </c>
      <c r="P126" s="201">
        <v>289160</v>
      </c>
      <c r="Q126" s="201">
        <v>312000</v>
      </c>
      <c r="R126" s="201">
        <v>312000</v>
      </c>
      <c r="S126" s="201">
        <v>312000</v>
      </c>
      <c r="T126" s="201"/>
      <c r="U126" s="403"/>
    </row>
    <row r="127" spans="1:22" outlineLevel="2" x14ac:dyDescent="0.25">
      <c r="A127" s="193">
        <v>3349</v>
      </c>
      <c r="B127" s="193">
        <v>5031</v>
      </c>
      <c r="C127" s="193">
        <v>2050</v>
      </c>
      <c r="D127" s="193">
        <v>0</v>
      </c>
      <c r="E127" s="193">
        <v>0</v>
      </c>
      <c r="F127" s="193">
        <v>0</v>
      </c>
      <c r="G127" s="193">
        <v>0</v>
      </c>
      <c r="H127" s="193">
        <v>0</v>
      </c>
      <c r="I127" s="193">
        <v>0</v>
      </c>
      <c r="J127" s="321" t="str">
        <f t="shared" si="11"/>
        <v>3349/5031/2050/0/0/0/0/0/0</v>
      </c>
      <c r="K127" s="321" t="s">
        <v>200</v>
      </c>
      <c r="L127" s="201">
        <v>2775</v>
      </c>
      <c r="M127" s="201">
        <v>7050</v>
      </c>
      <c r="N127" s="201">
        <v>1273</v>
      </c>
      <c r="O127" s="201">
        <v>3840</v>
      </c>
      <c r="P127" s="201"/>
      <c r="Q127" s="201">
        <v>10000</v>
      </c>
      <c r="R127" s="201">
        <v>10000</v>
      </c>
      <c r="S127" s="201"/>
      <c r="T127" s="201"/>
      <c r="U127" s="403"/>
    </row>
    <row r="128" spans="1:22" outlineLevel="2" x14ac:dyDescent="0.25">
      <c r="A128" s="256">
        <v>6171</v>
      </c>
      <c r="B128" s="256">
        <v>5024</v>
      </c>
      <c r="C128" s="256">
        <v>2050</v>
      </c>
      <c r="D128" s="256">
        <v>0</v>
      </c>
      <c r="E128" s="256">
        <v>0</v>
      </c>
      <c r="F128" s="256">
        <v>0</v>
      </c>
      <c r="G128" s="256">
        <v>0</v>
      </c>
      <c r="H128" s="256">
        <v>0</v>
      </c>
      <c r="I128" s="256">
        <v>0</v>
      </c>
      <c r="J128" s="332" t="str">
        <f t="shared" si="11"/>
        <v>6171/5024/2050/0/0/0/0/0/0</v>
      </c>
      <c r="K128" s="332" t="s">
        <v>869</v>
      </c>
      <c r="L128" s="353"/>
      <c r="M128" s="353"/>
      <c r="N128" s="353"/>
      <c r="O128" s="353">
        <v>547865</v>
      </c>
      <c r="P128" s="353"/>
      <c r="Q128" s="353"/>
      <c r="R128" s="353"/>
      <c r="S128" s="353"/>
      <c r="T128" s="353"/>
      <c r="U128" s="545"/>
    </row>
    <row r="129" spans="1:21" outlineLevel="2" x14ac:dyDescent="0.25">
      <c r="A129" s="193">
        <v>3412</v>
      </c>
      <c r="B129" s="193">
        <v>5021</v>
      </c>
      <c r="C129" s="193">
        <v>2050</v>
      </c>
      <c r="D129" s="193">
        <v>16432</v>
      </c>
      <c r="E129" s="193">
        <v>0</v>
      </c>
      <c r="F129" s="194">
        <v>0</v>
      </c>
      <c r="G129" s="193">
        <v>0</v>
      </c>
      <c r="H129" s="193">
        <v>0</v>
      </c>
      <c r="I129" s="193">
        <v>0</v>
      </c>
      <c r="J129" s="321" t="str">
        <f t="shared" si="11"/>
        <v>3412/5021/2050/16432/0/0/0/0/0</v>
      </c>
      <c r="K129" s="321" t="s">
        <v>202</v>
      </c>
      <c r="L129" s="201"/>
      <c r="M129" s="201">
        <v>76530</v>
      </c>
      <c r="N129" s="201">
        <v>42990</v>
      </c>
      <c r="O129" s="201">
        <v>11250</v>
      </c>
      <c r="P129" s="201">
        <v>42070</v>
      </c>
      <c r="Q129" s="201">
        <v>20000</v>
      </c>
      <c r="R129" s="201">
        <v>19550</v>
      </c>
      <c r="S129" s="201">
        <v>40960</v>
      </c>
      <c r="T129" s="201"/>
      <c r="U129" s="403"/>
    </row>
    <row r="130" spans="1:21" outlineLevel="2" x14ac:dyDescent="0.25">
      <c r="A130" s="193">
        <v>3412</v>
      </c>
      <c r="B130" s="193">
        <v>5011</v>
      </c>
      <c r="C130" s="193">
        <v>2050</v>
      </c>
      <c r="D130" s="193">
        <v>16432</v>
      </c>
      <c r="E130" s="193">
        <v>0</v>
      </c>
      <c r="F130" s="194">
        <v>0</v>
      </c>
      <c r="G130" s="193">
        <v>0</v>
      </c>
      <c r="H130" s="193">
        <v>0</v>
      </c>
      <c r="I130" s="193">
        <v>0</v>
      </c>
      <c r="J130" s="321" t="str">
        <f t="shared" si="11"/>
        <v>3412/5011/2050/16432/0/0/0/0/0</v>
      </c>
      <c r="K130" s="321" t="s">
        <v>3711</v>
      </c>
      <c r="L130" s="201">
        <v>0</v>
      </c>
      <c r="M130" s="201">
        <v>351607</v>
      </c>
      <c r="N130" s="201">
        <v>375892</v>
      </c>
      <c r="O130" s="201">
        <v>390425</v>
      </c>
      <c r="P130" s="201">
        <v>386431</v>
      </c>
      <c r="Q130" s="201">
        <v>360090</v>
      </c>
      <c r="R130" s="201">
        <v>360090</v>
      </c>
      <c r="S130" s="201">
        <v>360120</v>
      </c>
      <c r="T130" s="201"/>
      <c r="U130" s="403"/>
    </row>
    <row r="131" spans="1:21" outlineLevel="2" x14ac:dyDescent="0.25">
      <c r="A131" s="193">
        <v>3412</v>
      </c>
      <c r="B131" s="193">
        <v>5031</v>
      </c>
      <c r="C131" s="193">
        <v>2050</v>
      </c>
      <c r="D131" s="193">
        <v>16432</v>
      </c>
      <c r="E131" s="193">
        <v>0</v>
      </c>
      <c r="F131" s="194">
        <v>0</v>
      </c>
      <c r="G131" s="193">
        <v>0</v>
      </c>
      <c r="H131" s="193">
        <v>0</v>
      </c>
      <c r="I131" s="193">
        <v>0</v>
      </c>
      <c r="J131" s="321" t="str">
        <f t="shared" si="11"/>
        <v>3412/5031/2050/16432/0/0/0/0/0</v>
      </c>
      <c r="K131" s="321" t="s">
        <v>203</v>
      </c>
      <c r="L131" s="201">
        <v>0</v>
      </c>
      <c r="M131" s="201">
        <v>100104</v>
      </c>
      <c r="N131" s="201">
        <v>98772</v>
      </c>
      <c r="O131" s="201">
        <v>96831</v>
      </c>
      <c r="P131" s="201">
        <v>95839</v>
      </c>
      <c r="Q131" s="201">
        <v>89310</v>
      </c>
      <c r="R131" s="201">
        <v>89310</v>
      </c>
      <c r="S131" s="201">
        <v>89310</v>
      </c>
      <c r="T131" s="201"/>
      <c r="U131" s="403"/>
    </row>
    <row r="132" spans="1:21" outlineLevel="2" x14ac:dyDescent="0.25">
      <c r="A132" s="193">
        <v>3412</v>
      </c>
      <c r="B132" s="193">
        <v>5032</v>
      </c>
      <c r="C132" s="193">
        <v>2050</v>
      </c>
      <c r="D132" s="193">
        <v>16432</v>
      </c>
      <c r="E132" s="193">
        <v>0</v>
      </c>
      <c r="F132" s="194">
        <v>0</v>
      </c>
      <c r="G132" s="193">
        <v>0</v>
      </c>
      <c r="H132" s="193">
        <v>0</v>
      </c>
      <c r="I132" s="193">
        <v>0</v>
      </c>
      <c r="J132" s="321" t="str">
        <f t="shared" si="11"/>
        <v>3412/5032/2050/16432/0/0/0/0/0</v>
      </c>
      <c r="K132" s="321" t="s">
        <v>204</v>
      </c>
      <c r="L132" s="201">
        <v>0</v>
      </c>
      <c r="M132" s="201">
        <v>36182</v>
      </c>
      <c r="N132" s="201">
        <v>35842</v>
      </c>
      <c r="O132" s="201">
        <v>35136</v>
      </c>
      <c r="P132" s="201">
        <v>34778</v>
      </c>
      <c r="Q132" s="201">
        <v>32410</v>
      </c>
      <c r="R132" s="201">
        <v>32410</v>
      </c>
      <c r="S132" s="201">
        <v>32440</v>
      </c>
      <c r="T132" s="201"/>
      <c r="U132" s="403"/>
    </row>
    <row r="133" spans="1:21" outlineLevel="2" x14ac:dyDescent="0.25">
      <c r="A133" s="193">
        <v>6171</v>
      </c>
      <c r="B133" s="193">
        <v>5038</v>
      </c>
      <c r="C133" s="193">
        <v>2050</v>
      </c>
      <c r="D133" s="193">
        <v>0</v>
      </c>
      <c r="E133" s="193">
        <v>0</v>
      </c>
      <c r="F133" s="194">
        <v>0</v>
      </c>
      <c r="G133" s="193">
        <v>0</v>
      </c>
      <c r="H133" s="193">
        <v>0</v>
      </c>
      <c r="I133" s="193">
        <v>0</v>
      </c>
      <c r="J133" s="321" t="str">
        <f t="shared" si="11"/>
        <v>6171/5038/2050/0/0/0/0/0/0</v>
      </c>
      <c r="K133" s="321" t="s">
        <v>205</v>
      </c>
      <c r="L133" s="201">
        <v>350590</v>
      </c>
      <c r="M133" s="201">
        <v>379614</v>
      </c>
      <c r="N133" s="201">
        <v>388356</v>
      </c>
      <c r="O133" s="201">
        <v>406084</v>
      </c>
      <c r="P133" s="201">
        <v>422377</v>
      </c>
      <c r="Q133" s="201">
        <f>447000+26000</f>
        <v>473000</v>
      </c>
      <c r="R133" s="201">
        <v>473000</v>
      </c>
      <c r="S133" s="201">
        <v>473000</v>
      </c>
      <c r="T133" s="201"/>
      <c r="U133" s="403"/>
    </row>
    <row r="134" spans="1:21" outlineLevel="2" x14ac:dyDescent="0.25">
      <c r="A134" s="193">
        <v>6171</v>
      </c>
      <c r="B134" s="193">
        <v>5424</v>
      </c>
      <c r="C134" s="193">
        <v>2050</v>
      </c>
      <c r="D134" s="193">
        <v>30012</v>
      </c>
      <c r="E134" s="193">
        <v>0</v>
      </c>
      <c r="F134" s="194">
        <v>0</v>
      </c>
      <c r="G134" s="193">
        <v>0</v>
      </c>
      <c r="H134" s="193">
        <v>0</v>
      </c>
      <c r="I134" s="193">
        <v>0</v>
      </c>
      <c r="J134" s="321" t="str">
        <f t="shared" si="11"/>
        <v>6171/5424/2050/30012/0/0/0/0/0</v>
      </c>
      <c r="K134" s="321" t="s">
        <v>3860</v>
      </c>
      <c r="L134" s="201"/>
      <c r="M134" s="201">
        <v>5964</v>
      </c>
      <c r="N134" s="201">
        <v>4428</v>
      </c>
      <c r="O134" s="201">
        <v>21346</v>
      </c>
      <c r="P134" s="201">
        <v>31113</v>
      </c>
      <c r="Q134" s="201">
        <v>50000</v>
      </c>
      <c r="R134" s="201">
        <v>50000</v>
      </c>
      <c r="S134" s="201">
        <v>50000</v>
      </c>
      <c r="T134" s="201"/>
      <c r="U134" s="403"/>
    </row>
    <row r="135" spans="1:21" outlineLevel="2" x14ac:dyDescent="0.25">
      <c r="A135" s="193">
        <v>6171</v>
      </c>
      <c r="B135" s="193">
        <v>5011</v>
      </c>
      <c r="C135" s="193">
        <v>2050</v>
      </c>
      <c r="D135" s="193">
        <v>30012</v>
      </c>
      <c r="E135" s="193">
        <v>0</v>
      </c>
      <c r="F135" s="194">
        <v>0</v>
      </c>
      <c r="G135" s="193">
        <v>0</v>
      </c>
      <c r="H135" s="193">
        <v>0</v>
      </c>
      <c r="I135" s="193">
        <v>0</v>
      </c>
      <c r="J135" s="321" t="str">
        <f t="shared" si="11"/>
        <v>6171/5011/2050/30012/0/0/0/0/0</v>
      </c>
      <c r="K135" s="321" t="s">
        <v>3861</v>
      </c>
      <c r="L135" s="201"/>
      <c r="M135" s="201">
        <f>481136+3380</f>
        <v>484516</v>
      </c>
      <c r="N135" s="201">
        <v>1370028</v>
      </c>
      <c r="O135" s="201">
        <v>1939069</v>
      </c>
      <c r="P135" s="201">
        <v>2649943</v>
      </c>
      <c r="Q135" s="201">
        <v>2879240</v>
      </c>
      <c r="R135" s="201">
        <v>2879240</v>
      </c>
      <c r="S135" s="201">
        <v>3091440</v>
      </c>
      <c r="T135" s="201"/>
      <c r="U135" s="403"/>
    </row>
    <row r="136" spans="1:21" outlineLevel="2" x14ac:dyDescent="0.25">
      <c r="A136" s="193">
        <v>6171</v>
      </c>
      <c r="B136" s="193">
        <v>5031</v>
      </c>
      <c r="C136" s="193">
        <v>2050</v>
      </c>
      <c r="D136" s="193">
        <v>30012</v>
      </c>
      <c r="E136" s="193">
        <v>0</v>
      </c>
      <c r="F136" s="194">
        <v>0</v>
      </c>
      <c r="G136" s="193">
        <v>0</v>
      </c>
      <c r="H136" s="193">
        <v>0</v>
      </c>
      <c r="I136" s="193">
        <v>0</v>
      </c>
      <c r="J136" s="321" t="str">
        <f t="shared" si="11"/>
        <v>6171/5031/2050/30012/0/0/0/0/0</v>
      </c>
      <c r="K136" s="321" t="s">
        <v>206</v>
      </c>
      <c r="L136" s="201"/>
      <c r="M136" s="201">
        <v>119324</v>
      </c>
      <c r="N136" s="201">
        <v>339773</v>
      </c>
      <c r="O136" s="201">
        <v>480896</v>
      </c>
      <c r="P136" s="201">
        <v>657193</v>
      </c>
      <c r="Q136" s="201">
        <v>714060</v>
      </c>
      <c r="R136" s="201">
        <v>714060</v>
      </c>
      <c r="S136" s="201">
        <v>766678</v>
      </c>
      <c r="T136" s="201"/>
      <c r="U136" s="403"/>
    </row>
    <row r="137" spans="1:21" outlineLevel="2" x14ac:dyDescent="0.25">
      <c r="A137" s="193">
        <v>6171</v>
      </c>
      <c r="B137" s="193">
        <v>5032</v>
      </c>
      <c r="C137" s="193">
        <v>2050</v>
      </c>
      <c r="D137" s="193">
        <v>30012</v>
      </c>
      <c r="E137" s="193">
        <v>0</v>
      </c>
      <c r="F137" s="194">
        <v>0</v>
      </c>
      <c r="G137" s="193">
        <v>0</v>
      </c>
      <c r="H137" s="193">
        <v>0</v>
      </c>
      <c r="I137" s="193">
        <v>0</v>
      </c>
      <c r="J137" s="321" t="str">
        <f t="shared" si="11"/>
        <v>6171/5032/2050/30012/0/0/0/0/0</v>
      </c>
      <c r="K137" s="321" t="s">
        <v>207</v>
      </c>
      <c r="L137" s="201"/>
      <c r="M137" s="201">
        <v>43303</v>
      </c>
      <c r="N137" s="201">
        <v>123303</v>
      </c>
      <c r="O137" s="201">
        <v>174517</v>
      </c>
      <c r="P137" s="201">
        <v>238495</v>
      </c>
      <c r="Q137" s="201">
        <v>259140</v>
      </c>
      <c r="R137" s="201">
        <v>259140</v>
      </c>
      <c r="S137" s="201">
        <v>278230</v>
      </c>
      <c r="T137" s="201"/>
      <c r="U137" s="403"/>
    </row>
    <row r="138" spans="1:21" outlineLevel="2" x14ac:dyDescent="0.25">
      <c r="A138" s="187">
        <v>6171</v>
      </c>
      <c r="B138" s="187">
        <v>5901</v>
      </c>
      <c r="C138" s="187">
        <v>2050</v>
      </c>
      <c r="D138" s="187">
        <v>0</v>
      </c>
      <c r="E138" s="187">
        <v>0</v>
      </c>
      <c r="F138" s="187">
        <v>0</v>
      </c>
      <c r="G138" s="187">
        <v>0</v>
      </c>
      <c r="H138" s="187">
        <v>0</v>
      </c>
      <c r="I138" s="187">
        <v>0</v>
      </c>
      <c r="J138" s="327" t="str">
        <f t="shared" ref="J138:J169" si="12">CONCATENATE(A138,"/",B138,"/",C138,"/",D138,"/",E138,"/",F138,"/",G138,"/",H138,"/",I138)</f>
        <v>6171/5901/2050/0/0/0/0/0/0</v>
      </c>
      <c r="K138" s="327" t="s">
        <v>3763</v>
      </c>
      <c r="L138" s="200"/>
      <c r="M138" s="200"/>
      <c r="N138" s="200"/>
      <c r="O138" s="200"/>
      <c r="P138" s="200"/>
      <c r="Q138" s="200">
        <v>0</v>
      </c>
      <c r="R138" s="200">
        <v>6087554</v>
      </c>
      <c r="S138" s="200"/>
      <c r="T138" s="200"/>
      <c r="U138" s="403"/>
    </row>
    <row r="139" spans="1:21" outlineLevel="2" x14ac:dyDescent="0.25">
      <c r="A139" s="193">
        <v>5512</v>
      </c>
      <c r="B139" s="193">
        <v>5137</v>
      </c>
      <c r="C139" s="193">
        <v>2050</v>
      </c>
      <c r="D139" s="193">
        <v>42064</v>
      </c>
      <c r="E139" s="193">
        <v>0</v>
      </c>
      <c r="F139" s="194">
        <v>0</v>
      </c>
      <c r="G139" s="193">
        <v>0</v>
      </c>
      <c r="H139" s="193">
        <v>0</v>
      </c>
      <c r="I139" s="193">
        <v>0</v>
      </c>
      <c r="J139" s="321" t="str">
        <f t="shared" si="12"/>
        <v>5512/5137/2050/42064/0/0/0/0/0</v>
      </c>
      <c r="K139" s="321" t="s">
        <v>4727</v>
      </c>
      <c r="L139" s="201">
        <v>36419</v>
      </c>
      <c r="M139" s="201">
        <v>401717.8</v>
      </c>
      <c r="N139" s="201">
        <v>294902.61</v>
      </c>
      <c r="O139" s="201">
        <v>382503.14</v>
      </c>
      <c r="P139" s="201">
        <v>144731.23000000001</v>
      </c>
      <c r="Q139" s="201">
        <v>200000</v>
      </c>
      <c r="R139" s="201">
        <v>140000</v>
      </c>
      <c r="S139" s="201">
        <v>140000</v>
      </c>
      <c r="T139" s="201"/>
      <c r="U139" s="403"/>
    </row>
    <row r="140" spans="1:21" outlineLevel="2" x14ac:dyDescent="0.25">
      <c r="A140" s="193">
        <v>5512</v>
      </c>
      <c r="B140" s="193">
        <v>5137</v>
      </c>
      <c r="C140" s="193">
        <v>2050</v>
      </c>
      <c r="D140" s="193">
        <v>42048</v>
      </c>
      <c r="E140" s="193">
        <v>0</v>
      </c>
      <c r="F140" s="194">
        <v>0</v>
      </c>
      <c r="G140" s="193">
        <v>0</v>
      </c>
      <c r="H140" s="193">
        <v>0</v>
      </c>
      <c r="I140" s="193">
        <v>0</v>
      </c>
      <c r="J140" s="321" t="str">
        <f t="shared" si="12"/>
        <v>5512/5137/2050/42048/0/0/0/0/0</v>
      </c>
      <c r="K140" s="321" t="s">
        <v>4742</v>
      </c>
      <c r="L140" s="200"/>
      <c r="M140" s="200"/>
      <c r="N140" s="200"/>
      <c r="O140" s="200"/>
      <c r="P140" s="200"/>
      <c r="Q140" s="200"/>
      <c r="R140" s="200">
        <v>18000</v>
      </c>
      <c r="S140" s="200">
        <v>50000</v>
      </c>
      <c r="T140" s="200"/>
      <c r="U140" s="403"/>
    </row>
    <row r="141" spans="1:21" outlineLevel="2" x14ac:dyDescent="0.25">
      <c r="A141" s="193">
        <v>5512</v>
      </c>
      <c r="B141" s="193">
        <v>5154</v>
      </c>
      <c r="C141" s="193">
        <v>2050</v>
      </c>
      <c r="D141" s="193">
        <v>42064</v>
      </c>
      <c r="E141" s="193">
        <v>0</v>
      </c>
      <c r="F141" s="194">
        <v>0</v>
      </c>
      <c r="G141" s="193">
        <v>0</v>
      </c>
      <c r="H141" s="193">
        <v>0</v>
      </c>
      <c r="I141" s="193">
        <v>0</v>
      </c>
      <c r="J141" s="321" t="str">
        <f t="shared" si="12"/>
        <v>5512/5154/2050/42064/0/0/0/0/0</v>
      </c>
      <c r="K141" s="321" t="s">
        <v>4728</v>
      </c>
      <c r="L141" s="201">
        <v>31767.7</v>
      </c>
      <c r="M141" s="201">
        <v>29220.22</v>
      </c>
      <c r="N141" s="201">
        <v>23307.360000000001</v>
      </c>
      <c r="O141" s="201">
        <v>39749.699999999997</v>
      </c>
      <c r="P141" s="201">
        <v>64475.86</v>
      </c>
      <c r="Q141" s="201">
        <v>80000</v>
      </c>
      <c r="R141" s="201">
        <v>245000</v>
      </c>
      <c r="S141" s="201">
        <v>240000</v>
      </c>
      <c r="T141" s="201"/>
      <c r="U141" s="403"/>
    </row>
    <row r="142" spans="1:21" outlineLevel="2" x14ac:dyDescent="0.25">
      <c r="A142" s="193">
        <v>5512</v>
      </c>
      <c r="B142" s="193">
        <v>5154</v>
      </c>
      <c r="C142" s="193">
        <v>2050</v>
      </c>
      <c r="D142" s="193">
        <v>42048</v>
      </c>
      <c r="E142" s="193">
        <v>0</v>
      </c>
      <c r="F142" s="194">
        <v>0</v>
      </c>
      <c r="G142" s="193">
        <v>0</v>
      </c>
      <c r="H142" s="193">
        <v>0</v>
      </c>
      <c r="I142" s="193">
        <v>0</v>
      </c>
      <c r="J142" s="321" t="str">
        <f t="shared" si="12"/>
        <v>5512/5154/2050/42048/0/0/0/0/0</v>
      </c>
      <c r="K142" s="321" t="s">
        <v>4743</v>
      </c>
      <c r="L142" s="200"/>
      <c r="M142" s="200"/>
      <c r="N142" s="200"/>
      <c r="O142" s="200"/>
      <c r="P142" s="200"/>
      <c r="Q142" s="200"/>
      <c r="R142" s="200">
        <v>15000</v>
      </c>
      <c r="S142" s="200">
        <v>30000</v>
      </c>
      <c r="T142" s="200"/>
      <c r="U142" s="403"/>
    </row>
    <row r="143" spans="1:21" outlineLevel="2" x14ac:dyDescent="0.25">
      <c r="A143" s="187">
        <v>5512</v>
      </c>
      <c r="B143" s="187">
        <v>5192</v>
      </c>
      <c r="C143" s="187">
        <v>2050</v>
      </c>
      <c r="D143" s="193">
        <v>42064</v>
      </c>
      <c r="E143" s="187">
        <v>0</v>
      </c>
      <c r="F143" s="187">
        <v>0</v>
      </c>
      <c r="G143" s="187">
        <v>0</v>
      </c>
      <c r="H143" s="187">
        <v>0</v>
      </c>
      <c r="I143" s="187">
        <v>0</v>
      </c>
      <c r="J143" s="327" t="str">
        <f t="shared" si="12"/>
        <v>5512/5192/2050/42064/0/0/0/0/0</v>
      </c>
      <c r="K143" s="327" t="s">
        <v>4729</v>
      </c>
      <c r="L143" s="200"/>
      <c r="M143" s="200"/>
      <c r="N143" s="200"/>
      <c r="O143" s="200">
        <v>1400</v>
      </c>
      <c r="P143" s="200">
        <v>800</v>
      </c>
      <c r="Q143" s="200">
        <v>3000</v>
      </c>
      <c r="R143" s="200">
        <v>2000</v>
      </c>
      <c r="S143" s="200">
        <v>4000</v>
      </c>
      <c r="T143" s="200"/>
      <c r="U143" s="403"/>
    </row>
    <row r="144" spans="1:21" outlineLevel="2" x14ac:dyDescent="0.25">
      <c r="A144" s="187">
        <v>5512</v>
      </c>
      <c r="B144" s="187">
        <v>5192</v>
      </c>
      <c r="C144" s="187">
        <v>2050</v>
      </c>
      <c r="D144" s="193">
        <v>42048</v>
      </c>
      <c r="E144" s="187">
        <v>0</v>
      </c>
      <c r="F144" s="187">
        <v>0</v>
      </c>
      <c r="G144" s="187">
        <v>0</v>
      </c>
      <c r="H144" s="187">
        <v>0</v>
      </c>
      <c r="I144" s="187">
        <v>0</v>
      </c>
      <c r="J144" s="327" t="str">
        <f t="shared" si="12"/>
        <v>5512/5192/2050/42048/0/0/0/0/0</v>
      </c>
      <c r="K144" s="327" t="s">
        <v>4744</v>
      </c>
      <c r="L144" s="200"/>
      <c r="M144" s="200"/>
      <c r="N144" s="200"/>
      <c r="O144" s="200"/>
      <c r="P144" s="200"/>
      <c r="Q144" s="200"/>
      <c r="R144" s="200">
        <v>4000</v>
      </c>
      <c r="S144" s="200">
        <v>4000</v>
      </c>
      <c r="T144" s="200"/>
      <c r="U144" s="403"/>
    </row>
    <row r="145" spans="1:22" outlineLevel="2" x14ac:dyDescent="0.25">
      <c r="A145" s="193">
        <v>5512</v>
      </c>
      <c r="B145" s="193">
        <v>5139</v>
      </c>
      <c r="C145" s="193">
        <v>2050</v>
      </c>
      <c r="D145" s="193">
        <v>42064</v>
      </c>
      <c r="E145" s="193">
        <v>0</v>
      </c>
      <c r="F145" s="194">
        <v>0</v>
      </c>
      <c r="G145" s="193">
        <v>0</v>
      </c>
      <c r="H145" s="193">
        <v>0</v>
      </c>
      <c r="I145" s="193">
        <v>0</v>
      </c>
      <c r="J145" s="321" t="str">
        <f t="shared" si="12"/>
        <v>5512/5139/2050/42064/0/0/0/0/0</v>
      </c>
      <c r="K145" s="321" t="s">
        <v>4730</v>
      </c>
      <c r="L145" s="201">
        <v>2426</v>
      </c>
      <c r="M145" s="201">
        <v>11291.2</v>
      </c>
      <c r="N145" s="201">
        <v>20445.93</v>
      </c>
      <c r="O145" s="201">
        <v>44332</v>
      </c>
      <c r="P145" s="201">
        <v>11648</v>
      </c>
      <c r="Q145" s="201">
        <v>50000</v>
      </c>
      <c r="R145" s="201">
        <v>35000</v>
      </c>
      <c r="S145" s="201">
        <v>35000</v>
      </c>
      <c r="T145" s="201"/>
      <c r="U145" s="403"/>
    </row>
    <row r="146" spans="1:22" outlineLevel="2" x14ac:dyDescent="0.25">
      <c r="A146" s="193">
        <v>5512</v>
      </c>
      <c r="B146" s="193">
        <v>5139</v>
      </c>
      <c r="C146" s="193">
        <v>2050</v>
      </c>
      <c r="D146" s="193">
        <v>42048</v>
      </c>
      <c r="E146" s="193">
        <v>0</v>
      </c>
      <c r="F146" s="194">
        <v>0</v>
      </c>
      <c r="G146" s="193">
        <v>0</v>
      </c>
      <c r="H146" s="193">
        <v>0</v>
      </c>
      <c r="I146" s="193">
        <v>0</v>
      </c>
      <c r="J146" s="321" t="str">
        <f t="shared" si="12"/>
        <v>5512/5139/2050/42048/0/0/0/0/0</v>
      </c>
      <c r="K146" s="321" t="s">
        <v>4745</v>
      </c>
      <c r="L146" s="200"/>
      <c r="M146" s="200"/>
      <c r="N146" s="200"/>
      <c r="O146" s="200"/>
      <c r="P146" s="200"/>
      <c r="Q146" s="200"/>
      <c r="R146" s="200">
        <v>15000</v>
      </c>
      <c r="S146" s="200">
        <v>15000</v>
      </c>
      <c r="T146" s="200"/>
      <c r="U146" s="403"/>
    </row>
    <row r="147" spans="1:22" outlineLevel="2" x14ac:dyDescent="0.25">
      <c r="A147" s="193">
        <v>5512</v>
      </c>
      <c r="B147" s="193">
        <v>5132</v>
      </c>
      <c r="C147" s="193">
        <v>2050</v>
      </c>
      <c r="D147" s="193">
        <v>42064</v>
      </c>
      <c r="E147" s="193">
        <v>0</v>
      </c>
      <c r="F147" s="194">
        <v>0</v>
      </c>
      <c r="G147" s="193">
        <v>0</v>
      </c>
      <c r="H147" s="193">
        <v>0</v>
      </c>
      <c r="I147" s="193">
        <v>0</v>
      </c>
      <c r="J147" s="321" t="str">
        <f t="shared" si="12"/>
        <v>5512/5132/2050/42064/0/0/0/0/0</v>
      </c>
      <c r="K147" s="321" t="s">
        <v>4731</v>
      </c>
      <c r="L147" s="201"/>
      <c r="M147" s="201"/>
      <c r="N147" s="201"/>
      <c r="O147" s="201"/>
      <c r="P147" s="201">
        <v>175290.7</v>
      </c>
      <c r="Q147" s="201">
        <v>200000</v>
      </c>
      <c r="R147" s="201">
        <v>140000</v>
      </c>
      <c r="S147" s="201">
        <v>120000</v>
      </c>
      <c r="T147" s="201"/>
      <c r="U147" s="403"/>
    </row>
    <row r="148" spans="1:22" outlineLevel="2" x14ac:dyDescent="0.25">
      <c r="A148" s="193">
        <v>5512</v>
      </c>
      <c r="B148" s="193">
        <v>5132</v>
      </c>
      <c r="C148" s="193">
        <v>2050</v>
      </c>
      <c r="D148" s="193">
        <v>42048</v>
      </c>
      <c r="E148" s="193">
        <v>0</v>
      </c>
      <c r="F148" s="194">
        <v>0</v>
      </c>
      <c r="G148" s="193">
        <v>0</v>
      </c>
      <c r="H148" s="193">
        <v>0</v>
      </c>
      <c r="I148" s="193">
        <v>0</v>
      </c>
      <c r="J148" s="321" t="str">
        <f t="shared" si="12"/>
        <v>5512/5132/2050/42048/0/0/0/0/0</v>
      </c>
      <c r="K148" s="321" t="s">
        <v>4746</v>
      </c>
      <c r="L148" s="200"/>
      <c r="M148" s="200"/>
      <c r="N148" s="200"/>
      <c r="O148" s="200"/>
      <c r="P148" s="200"/>
      <c r="Q148" s="200"/>
      <c r="R148" s="200">
        <v>60000</v>
      </c>
      <c r="S148" s="200">
        <v>50000</v>
      </c>
      <c r="T148" s="200"/>
      <c r="U148" s="403"/>
    </row>
    <row r="149" spans="1:22" outlineLevel="2" x14ac:dyDescent="0.25">
      <c r="A149" s="193">
        <v>5512</v>
      </c>
      <c r="B149" s="193">
        <v>5171</v>
      </c>
      <c r="C149" s="193">
        <v>2050</v>
      </c>
      <c r="D149" s="193">
        <v>42064</v>
      </c>
      <c r="E149" s="193">
        <v>0</v>
      </c>
      <c r="F149" s="194">
        <v>0</v>
      </c>
      <c r="G149" s="193">
        <v>0</v>
      </c>
      <c r="H149" s="193">
        <v>0</v>
      </c>
      <c r="I149" s="193">
        <v>0</v>
      </c>
      <c r="J149" s="321" t="str">
        <f t="shared" si="12"/>
        <v>5512/5171/2050/42064/0/0/0/0/0</v>
      </c>
      <c r="K149" s="321" t="s">
        <v>4732</v>
      </c>
      <c r="L149" s="201">
        <v>118571</v>
      </c>
      <c r="M149" s="201">
        <v>40790.019999999997</v>
      </c>
      <c r="N149" s="201">
        <v>73924</v>
      </c>
      <c r="O149" s="201">
        <v>8564.3799999999992</v>
      </c>
      <c r="P149" s="201">
        <v>49976</v>
      </c>
      <c r="Q149" s="201">
        <v>200000</v>
      </c>
      <c r="R149" s="201">
        <v>150000</v>
      </c>
      <c r="S149" s="201">
        <v>100000</v>
      </c>
      <c r="T149" s="201"/>
      <c r="U149" s="403"/>
    </row>
    <row r="150" spans="1:22" outlineLevel="2" x14ac:dyDescent="0.25">
      <c r="A150" s="193">
        <v>5512</v>
      </c>
      <c r="B150" s="193">
        <v>5171</v>
      </c>
      <c r="C150" s="193">
        <v>2050</v>
      </c>
      <c r="D150" s="193">
        <v>42048</v>
      </c>
      <c r="E150" s="193">
        <v>0</v>
      </c>
      <c r="F150" s="194">
        <v>0</v>
      </c>
      <c r="G150" s="193">
        <v>0</v>
      </c>
      <c r="H150" s="193">
        <v>0</v>
      </c>
      <c r="I150" s="193">
        <v>0</v>
      </c>
      <c r="J150" s="321" t="str">
        <f t="shared" si="12"/>
        <v>5512/5171/2050/42048/0/0/0/0/0</v>
      </c>
      <c r="K150" s="321" t="s">
        <v>4747</v>
      </c>
      <c r="L150" s="200"/>
      <c r="M150" s="200"/>
      <c r="N150" s="200"/>
      <c r="O150" s="200"/>
      <c r="P150" s="200"/>
      <c r="Q150" s="200"/>
      <c r="R150" s="200">
        <v>19000</v>
      </c>
      <c r="S150" s="200">
        <v>20000</v>
      </c>
      <c r="T150" s="200"/>
      <c r="U150" s="403"/>
    </row>
    <row r="151" spans="1:22" outlineLevel="2" x14ac:dyDescent="0.25">
      <c r="A151" s="193">
        <v>5512</v>
      </c>
      <c r="B151" s="193">
        <v>5153</v>
      </c>
      <c r="C151" s="193">
        <v>2050</v>
      </c>
      <c r="D151" s="193">
        <v>42064</v>
      </c>
      <c r="E151" s="193">
        <v>0</v>
      </c>
      <c r="F151" s="194">
        <v>0</v>
      </c>
      <c r="G151" s="193">
        <v>0</v>
      </c>
      <c r="H151" s="193">
        <v>0</v>
      </c>
      <c r="I151" s="193">
        <v>0</v>
      </c>
      <c r="J151" s="321" t="str">
        <f t="shared" si="12"/>
        <v>5512/5153/2050/42064/0/0/0/0/0</v>
      </c>
      <c r="K151" s="321" t="s">
        <v>4733</v>
      </c>
      <c r="L151" s="201">
        <v>29917.42</v>
      </c>
      <c r="M151" s="201">
        <v>30600</v>
      </c>
      <c r="N151" s="201">
        <v>20290</v>
      </c>
      <c r="O151" s="201">
        <v>23919.16</v>
      </c>
      <c r="P151" s="201">
        <v>53753.11</v>
      </c>
      <c r="Q151" s="201">
        <v>90000</v>
      </c>
      <c r="R151" s="201">
        <v>90000</v>
      </c>
      <c r="S151" s="201">
        <v>90000</v>
      </c>
      <c r="T151" s="201"/>
      <c r="U151" s="403"/>
    </row>
    <row r="152" spans="1:22" outlineLevel="2" x14ac:dyDescent="0.25">
      <c r="A152" s="193">
        <v>5512</v>
      </c>
      <c r="B152" s="193">
        <v>5156</v>
      </c>
      <c r="C152" s="193">
        <v>2050</v>
      </c>
      <c r="D152" s="193">
        <v>42064</v>
      </c>
      <c r="E152" s="193">
        <v>0</v>
      </c>
      <c r="F152" s="194">
        <v>0</v>
      </c>
      <c r="G152" s="193">
        <v>0</v>
      </c>
      <c r="H152" s="193">
        <v>0</v>
      </c>
      <c r="I152" s="193">
        <v>0</v>
      </c>
      <c r="J152" s="321" t="str">
        <f t="shared" si="12"/>
        <v>5512/5156/2050/42064/0/0/0/0/0</v>
      </c>
      <c r="K152" s="321" t="s">
        <v>4734</v>
      </c>
      <c r="L152" s="201">
        <v>41183</v>
      </c>
      <c r="M152" s="201">
        <v>23046</v>
      </c>
      <c r="N152" s="201">
        <v>14203</v>
      </c>
      <c r="O152" s="201">
        <v>33746.6</v>
      </c>
      <c r="P152" s="201">
        <v>51447</v>
      </c>
      <c r="Q152" s="201">
        <v>100000</v>
      </c>
      <c r="R152" s="201">
        <v>80000</v>
      </c>
      <c r="S152" s="201">
        <v>80000</v>
      </c>
      <c r="T152" s="201"/>
      <c r="U152" s="403"/>
    </row>
    <row r="153" spans="1:22" outlineLevel="2" x14ac:dyDescent="0.25">
      <c r="A153" s="193">
        <v>5512</v>
      </c>
      <c r="B153" s="193">
        <v>5156</v>
      </c>
      <c r="C153" s="193">
        <v>2050</v>
      </c>
      <c r="D153" s="193">
        <v>42048</v>
      </c>
      <c r="E153" s="193">
        <v>0</v>
      </c>
      <c r="F153" s="194">
        <v>0</v>
      </c>
      <c r="G153" s="193">
        <v>0</v>
      </c>
      <c r="H153" s="193">
        <v>0</v>
      </c>
      <c r="I153" s="193">
        <v>0</v>
      </c>
      <c r="J153" s="321" t="str">
        <f t="shared" si="12"/>
        <v>5512/5156/2050/42048/0/0/0/0/0</v>
      </c>
      <c r="K153" s="321" t="s">
        <v>4748</v>
      </c>
      <c r="L153" s="200"/>
      <c r="M153" s="200"/>
      <c r="N153" s="200"/>
      <c r="O153" s="200"/>
      <c r="P153" s="200"/>
      <c r="Q153" s="200"/>
      <c r="R153" s="200">
        <v>20000</v>
      </c>
      <c r="S153" s="200">
        <v>20000</v>
      </c>
      <c r="T153" s="200"/>
      <c r="U153" s="403"/>
    </row>
    <row r="154" spans="1:22" outlineLevel="2" x14ac:dyDescent="0.25">
      <c r="A154" s="193">
        <v>5512</v>
      </c>
      <c r="B154" s="193">
        <v>5163</v>
      </c>
      <c r="C154" s="193">
        <v>2050</v>
      </c>
      <c r="D154" s="193">
        <v>42064</v>
      </c>
      <c r="E154" s="193">
        <v>0</v>
      </c>
      <c r="F154" s="194">
        <v>0</v>
      </c>
      <c r="G154" s="193">
        <v>0</v>
      </c>
      <c r="H154" s="193">
        <v>0</v>
      </c>
      <c r="I154" s="193">
        <v>0</v>
      </c>
      <c r="J154" s="321" t="str">
        <f t="shared" si="12"/>
        <v>5512/5163/2050/42064/0/0/0/0/0</v>
      </c>
      <c r="K154" s="321" t="s">
        <v>4735</v>
      </c>
      <c r="L154" s="201"/>
      <c r="M154" s="201"/>
      <c r="N154" s="201"/>
      <c r="O154" s="201"/>
      <c r="P154" s="201">
        <v>35998</v>
      </c>
      <c r="Q154" s="201">
        <v>100000</v>
      </c>
      <c r="R154" s="201">
        <v>75000</v>
      </c>
      <c r="S154" s="201">
        <v>75000</v>
      </c>
      <c r="T154" s="201"/>
      <c r="U154" s="403"/>
    </row>
    <row r="155" spans="1:22" outlineLevel="2" x14ac:dyDescent="0.25">
      <c r="A155" s="193">
        <v>5512</v>
      </c>
      <c r="B155" s="193">
        <v>5163</v>
      </c>
      <c r="C155" s="193">
        <v>2050</v>
      </c>
      <c r="D155" s="193">
        <v>42048</v>
      </c>
      <c r="E155" s="193">
        <v>0</v>
      </c>
      <c r="F155" s="194">
        <v>0</v>
      </c>
      <c r="G155" s="193">
        <v>0</v>
      </c>
      <c r="H155" s="193">
        <v>0</v>
      </c>
      <c r="I155" s="193">
        <v>0</v>
      </c>
      <c r="J155" s="321" t="str">
        <f t="shared" si="12"/>
        <v>5512/5163/2050/42048/0/0/0/0/0</v>
      </c>
      <c r="K155" s="321" t="s">
        <v>4749</v>
      </c>
      <c r="L155" s="200"/>
      <c r="M155" s="200"/>
      <c r="N155" s="200"/>
      <c r="O155" s="200"/>
      <c r="P155" s="200"/>
      <c r="Q155" s="200"/>
      <c r="R155" s="200">
        <v>25000</v>
      </c>
      <c r="S155" s="200">
        <v>25000</v>
      </c>
      <c r="T155" s="200"/>
      <c r="U155" s="403"/>
    </row>
    <row r="156" spans="1:22" outlineLevel="2" x14ac:dyDescent="0.25">
      <c r="A156" s="193">
        <v>5512</v>
      </c>
      <c r="B156" s="193">
        <v>5131</v>
      </c>
      <c r="C156" s="193">
        <v>2050</v>
      </c>
      <c r="D156" s="193">
        <v>42064</v>
      </c>
      <c r="E156" s="193">
        <v>0</v>
      </c>
      <c r="F156" s="194">
        <v>0</v>
      </c>
      <c r="G156" s="193">
        <v>0</v>
      </c>
      <c r="H156" s="193">
        <v>0</v>
      </c>
      <c r="I156" s="193">
        <v>0</v>
      </c>
      <c r="J156" s="321" t="str">
        <f t="shared" si="12"/>
        <v>5512/5131/2050/42064/0/0/0/0/0</v>
      </c>
      <c r="K156" s="321" t="s">
        <v>4736</v>
      </c>
      <c r="L156" s="201"/>
      <c r="M156" s="201"/>
      <c r="N156" s="201"/>
      <c r="O156" s="201"/>
      <c r="P156" s="201">
        <v>789</v>
      </c>
      <c r="Q156" s="201">
        <v>5000</v>
      </c>
      <c r="R156" s="201">
        <v>4000</v>
      </c>
      <c r="S156" s="201">
        <v>4000</v>
      </c>
      <c r="T156" s="201"/>
      <c r="U156" s="403"/>
    </row>
    <row r="157" spans="1:22" outlineLevel="2" x14ac:dyDescent="0.25">
      <c r="A157" s="193">
        <v>5512</v>
      </c>
      <c r="B157" s="193">
        <v>5131</v>
      </c>
      <c r="C157" s="193">
        <v>2050</v>
      </c>
      <c r="D157" s="193">
        <v>42048</v>
      </c>
      <c r="E157" s="193">
        <v>0</v>
      </c>
      <c r="F157" s="194">
        <v>0</v>
      </c>
      <c r="G157" s="193">
        <v>0</v>
      </c>
      <c r="H157" s="193">
        <v>0</v>
      </c>
      <c r="I157" s="193">
        <v>0</v>
      </c>
      <c r="J157" s="321" t="str">
        <f t="shared" si="12"/>
        <v>5512/5131/2050/42048/0/0/0/0/0</v>
      </c>
      <c r="K157" s="321" t="s">
        <v>4750</v>
      </c>
      <c r="L157" s="200"/>
      <c r="M157" s="200"/>
      <c r="N157" s="200"/>
      <c r="O157" s="200"/>
      <c r="P157" s="200"/>
      <c r="Q157" s="200"/>
      <c r="R157" s="200">
        <v>1000</v>
      </c>
      <c r="S157" s="200">
        <v>1000</v>
      </c>
      <c r="T157" s="200"/>
      <c r="U157" s="403"/>
    </row>
    <row r="158" spans="1:22" s="59" customFormat="1" outlineLevel="2" x14ac:dyDescent="0.25">
      <c r="A158" s="193">
        <v>5512</v>
      </c>
      <c r="B158" s="193">
        <v>5019</v>
      </c>
      <c r="C158" s="193">
        <v>2050</v>
      </c>
      <c r="D158" s="193">
        <v>42064</v>
      </c>
      <c r="E158" s="193">
        <v>0</v>
      </c>
      <c r="F158" s="194">
        <v>0</v>
      </c>
      <c r="G158" s="193">
        <v>0</v>
      </c>
      <c r="H158" s="193">
        <v>0</v>
      </c>
      <c r="I158" s="193">
        <v>0</v>
      </c>
      <c r="J158" s="321" t="str">
        <f t="shared" si="12"/>
        <v>5512/5019/2050/42064/0/0/0/0/0</v>
      </c>
      <c r="K158" s="321" t="s">
        <v>4737</v>
      </c>
      <c r="L158" s="201"/>
      <c r="M158" s="201">
        <v>787</v>
      </c>
      <c r="N158" s="201">
        <v>1306</v>
      </c>
      <c r="O158" s="201">
        <v>279</v>
      </c>
      <c r="P158" s="201"/>
      <c r="Q158" s="201">
        <v>10000</v>
      </c>
      <c r="R158" s="201">
        <v>7000</v>
      </c>
      <c r="S158" s="201">
        <v>7000</v>
      </c>
      <c r="T158" s="201"/>
      <c r="U158" s="403"/>
      <c r="V158" s="351"/>
    </row>
    <row r="159" spans="1:22" outlineLevel="2" x14ac:dyDescent="0.25">
      <c r="A159" s="193">
        <v>5512</v>
      </c>
      <c r="B159" s="193">
        <v>5019</v>
      </c>
      <c r="C159" s="193">
        <v>2050</v>
      </c>
      <c r="D159" s="193">
        <v>42048</v>
      </c>
      <c r="E159" s="193">
        <v>0</v>
      </c>
      <c r="F159" s="194">
        <v>0</v>
      </c>
      <c r="G159" s="193">
        <v>0</v>
      </c>
      <c r="H159" s="193">
        <v>0</v>
      </c>
      <c r="I159" s="193">
        <v>0</v>
      </c>
      <c r="J159" s="321" t="str">
        <f t="shared" si="12"/>
        <v>5512/5019/2050/42048/0/0/0/0/0</v>
      </c>
      <c r="K159" s="321" t="s">
        <v>4751</v>
      </c>
      <c r="L159" s="200"/>
      <c r="M159" s="200"/>
      <c r="N159" s="200"/>
      <c r="O159" s="200"/>
      <c r="P159" s="200"/>
      <c r="Q159" s="200"/>
      <c r="R159" s="200">
        <v>3000</v>
      </c>
      <c r="S159" s="200">
        <v>3000</v>
      </c>
      <c r="T159" s="200"/>
      <c r="U159" s="403"/>
    </row>
    <row r="160" spans="1:22" outlineLevel="2" x14ac:dyDescent="0.25">
      <c r="A160" s="193">
        <v>5512</v>
      </c>
      <c r="B160" s="193">
        <v>5169</v>
      </c>
      <c r="C160" s="193">
        <v>2050</v>
      </c>
      <c r="D160" s="193">
        <v>42064</v>
      </c>
      <c r="E160" s="193">
        <v>0</v>
      </c>
      <c r="F160" s="194">
        <v>0</v>
      </c>
      <c r="G160" s="193">
        <v>0</v>
      </c>
      <c r="H160" s="193">
        <v>0</v>
      </c>
      <c r="I160" s="193">
        <v>0</v>
      </c>
      <c r="J160" s="321" t="str">
        <f t="shared" si="12"/>
        <v>5512/5169/2050/42064/0/0/0/0/0</v>
      </c>
      <c r="K160" s="321" t="s">
        <v>4738</v>
      </c>
      <c r="L160" s="201">
        <v>50660</v>
      </c>
      <c r="M160" s="201">
        <v>54800</v>
      </c>
      <c r="N160" s="201">
        <v>80376</v>
      </c>
      <c r="O160" s="201">
        <v>56983</v>
      </c>
      <c r="P160" s="201">
        <v>69811.75</v>
      </c>
      <c r="Q160" s="201">
        <v>70000</v>
      </c>
      <c r="R160" s="201">
        <v>40000</v>
      </c>
      <c r="S160" s="201">
        <v>60000</v>
      </c>
      <c r="T160" s="201"/>
      <c r="U160" s="403"/>
    </row>
    <row r="161" spans="1:22" s="61" customFormat="1" outlineLevel="2" x14ac:dyDescent="0.25">
      <c r="A161" s="193">
        <v>5512</v>
      </c>
      <c r="B161" s="193">
        <v>5162</v>
      </c>
      <c r="C161" s="193">
        <v>2050</v>
      </c>
      <c r="D161" s="193">
        <v>42064</v>
      </c>
      <c r="E161" s="193">
        <v>0</v>
      </c>
      <c r="F161" s="194">
        <v>0</v>
      </c>
      <c r="G161" s="193">
        <v>0</v>
      </c>
      <c r="H161" s="193">
        <v>0</v>
      </c>
      <c r="I161" s="193">
        <v>0</v>
      </c>
      <c r="J161" s="321" t="str">
        <f t="shared" si="12"/>
        <v>5512/5162/2050/42064/0/0/0/0/0</v>
      </c>
      <c r="K161" s="321" t="s">
        <v>4739</v>
      </c>
      <c r="L161" s="201"/>
      <c r="M161" s="201">
        <v>458.5</v>
      </c>
      <c r="N161" s="201">
        <v>4337</v>
      </c>
      <c r="O161" s="201">
        <v>7260</v>
      </c>
      <c r="P161" s="201">
        <v>7260</v>
      </c>
      <c r="Q161" s="201">
        <v>10000</v>
      </c>
      <c r="R161" s="201">
        <v>6000</v>
      </c>
      <c r="S161" s="201">
        <v>5000</v>
      </c>
      <c r="T161" s="201"/>
      <c r="U161" s="403"/>
      <c r="V161" s="354"/>
    </row>
    <row r="162" spans="1:22" outlineLevel="2" x14ac:dyDescent="0.25">
      <c r="A162" s="193">
        <v>5512</v>
      </c>
      <c r="B162" s="193">
        <v>5162</v>
      </c>
      <c r="C162" s="193">
        <v>2050</v>
      </c>
      <c r="D162" s="193">
        <v>42048</v>
      </c>
      <c r="E162" s="193">
        <v>0</v>
      </c>
      <c r="F162" s="194">
        <v>0</v>
      </c>
      <c r="G162" s="193">
        <v>0</v>
      </c>
      <c r="H162" s="193">
        <v>0</v>
      </c>
      <c r="I162" s="193">
        <v>0</v>
      </c>
      <c r="J162" s="321" t="str">
        <f t="shared" si="12"/>
        <v>5512/5162/2050/42048/0/0/0/0/0</v>
      </c>
      <c r="K162" s="321" t="s">
        <v>4753</v>
      </c>
      <c r="L162" s="200"/>
      <c r="M162" s="200"/>
      <c r="N162" s="200"/>
      <c r="O162" s="200"/>
      <c r="P162" s="200"/>
      <c r="Q162" s="200"/>
      <c r="R162" s="200">
        <v>4000</v>
      </c>
      <c r="S162" s="200">
        <v>5000</v>
      </c>
      <c r="T162" s="200"/>
      <c r="U162" s="403"/>
    </row>
    <row r="163" spans="1:22" outlineLevel="2" x14ac:dyDescent="0.25">
      <c r="A163" s="193">
        <v>5512</v>
      </c>
      <c r="B163" s="193">
        <v>5169</v>
      </c>
      <c r="C163" s="193">
        <v>2050</v>
      </c>
      <c r="D163" s="193">
        <v>42048</v>
      </c>
      <c r="E163" s="193">
        <v>0</v>
      </c>
      <c r="F163" s="194">
        <v>0</v>
      </c>
      <c r="G163" s="193">
        <v>0</v>
      </c>
      <c r="H163" s="193">
        <v>0</v>
      </c>
      <c r="I163" s="193">
        <v>0</v>
      </c>
      <c r="J163" s="321" t="str">
        <f t="shared" si="12"/>
        <v>5512/5169/2050/42048/0/0/0/0/0</v>
      </c>
      <c r="K163" s="321" t="s">
        <v>4752</v>
      </c>
      <c r="L163" s="200"/>
      <c r="M163" s="200"/>
      <c r="N163" s="200"/>
      <c r="O163" s="200"/>
      <c r="P163" s="200"/>
      <c r="Q163" s="200"/>
      <c r="R163" s="200">
        <v>30000</v>
      </c>
      <c r="S163" s="200">
        <v>30000</v>
      </c>
      <c r="T163" s="200"/>
      <c r="U163" s="403"/>
    </row>
    <row r="164" spans="1:22" outlineLevel="2" x14ac:dyDescent="0.25">
      <c r="A164" s="193">
        <v>5512</v>
      </c>
      <c r="B164" s="193">
        <v>5167</v>
      </c>
      <c r="C164" s="193">
        <v>2050</v>
      </c>
      <c r="D164" s="193">
        <v>42064</v>
      </c>
      <c r="E164" s="193">
        <v>0</v>
      </c>
      <c r="F164" s="194">
        <v>0</v>
      </c>
      <c r="G164" s="193">
        <v>0</v>
      </c>
      <c r="H164" s="193">
        <v>0</v>
      </c>
      <c r="I164" s="193">
        <v>0</v>
      </c>
      <c r="J164" s="321" t="str">
        <f t="shared" si="12"/>
        <v>5512/5167/2050/42064/0/0/0/0/0</v>
      </c>
      <c r="K164" s="321" t="s">
        <v>4740</v>
      </c>
      <c r="L164" s="201">
        <v>13100</v>
      </c>
      <c r="M164" s="201"/>
      <c r="N164" s="201">
        <v>5800</v>
      </c>
      <c r="O164" s="201">
        <v>8000</v>
      </c>
      <c r="P164" s="201"/>
      <c r="Q164" s="201">
        <v>30000</v>
      </c>
      <c r="R164" s="201">
        <v>18000</v>
      </c>
      <c r="S164" s="201">
        <v>18000</v>
      </c>
      <c r="T164" s="201"/>
      <c r="U164" s="403"/>
    </row>
    <row r="165" spans="1:22" outlineLevel="2" x14ac:dyDescent="0.25">
      <c r="A165" s="193">
        <v>5512</v>
      </c>
      <c r="B165" s="193">
        <v>5167</v>
      </c>
      <c r="C165" s="193">
        <v>2050</v>
      </c>
      <c r="D165" s="193">
        <v>42048</v>
      </c>
      <c r="E165" s="193">
        <v>0</v>
      </c>
      <c r="F165" s="194">
        <v>0</v>
      </c>
      <c r="G165" s="193">
        <v>0</v>
      </c>
      <c r="H165" s="193">
        <v>0</v>
      </c>
      <c r="I165" s="193">
        <v>0</v>
      </c>
      <c r="J165" s="321" t="str">
        <f t="shared" si="12"/>
        <v>5512/5167/2050/42048/0/0/0/0/0</v>
      </c>
      <c r="K165" s="321" t="s">
        <v>4754</v>
      </c>
      <c r="L165" s="200"/>
      <c r="M165" s="200"/>
      <c r="N165" s="200"/>
      <c r="O165" s="200"/>
      <c r="P165" s="200"/>
      <c r="Q165" s="200"/>
      <c r="R165" s="200">
        <v>12000</v>
      </c>
      <c r="S165" s="200">
        <v>12000</v>
      </c>
      <c r="T165" s="200"/>
      <c r="U165" s="403"/>
    </row>
    <row r="166" spans="1:22" outlineLevel="2" x14ac:dyDescent="0.25">
      <c r="A166" s="193">
        <v>5512</v>
      </c>
      <c r="B166" s="193">
        <v>5151</v>
      </c>
      <c r="C166" s="193">
        <v>2050</v>
      </c>
      <c r="D166" s="193">
        <v>42064</v>
      </c>
      <c r="E166" s="193">
        <v>0</v>
      </c>
      <c r="F166" s="194">
        <v>0</v>
      </c>
      <c r="G166" s="193">
        <v>0</v>
      </c>
      <c r="H166" s="193">
        <v>0</v>
      </c>
      <c r="I166" s="193">
        <v>0</v>
      </c>
      <c r="J166" s="321" t="str">
        <f t="shared" si="12"/>
        <v>5512/5151/2050/42064/0/0/0/0/0</v>
      </c>
      <c r="K166" s="321" t="s">
        <v>4741</v>
      </c>
      <c r="L166" s="201">
        <v>5197</v>
      </c>
      <c r="M166" s="201">
        <v>4274</v>
      </c>
      <c r="N166" s="201">
        <v>1553</v>
      </c>
      <c r="O166" s="201">
        <v>491</v>
      </c>
      <c r="P166" s="201">
        <v>3037</v>
      </c>
      <c r="Q166" s="201">
        <v>10000</v>
      </c>
      <c r="R166" s="201">
        <v>7000</v>
      </c>
      <c r="S166" s="201">
        <v>10000</v>
      </c>
      <c r="T166" s="201"/>
      <c r="U166" s="403"/>
    </row>
    <row r="167" spans="1:22" outlineLevel="2" x14ac:dyDescent="0.25">
      <c r="A167" s="193">
        <v>5512</v>
      </c>
      <c r="B167" s="193">
        <v>5151</v>
      </c>
      <c r="C167" s="193">
        <v>2050</v>
      </c>
      <c r="D167" s="193">
        <v>42048</v>
      </c>
      <c r="E167" s="193">
        <v>0</v>
      </c>
      <c r="F167" s="194">
        <v>0</v>
      </c>
      <c r="G167" s="193">
        <v>0</v>
      </c>
      <c r="H167" s="193">
        <v>0</v>
      </c>
      <c r="I167" s="193">
        <v>0</v>
      </c>
      <c r="J167" s="321" t="str">
        <f t="shared" si="12"/>
        <v>5512/5151/2050/42048/0/0/0/0/0</v>
      </c>
      <c r="K167" s="321" t="s">
        <v>4755</v>
      </c>
      <c r="L167" s="200"/>
      <c r="M167" s="200"/>
      <c r="N167" s="200"/>
      <c r="O167" s="200"/>
      <c r="P167" s="200"/>
      <c r="Q167" s="200"/>
      <c r="R167" s="200">
        <v>3000</v>
      </c>
      <c r="S167" s="200">
        <v>5000</v>
      </c>
      <c r="T167" s="200"/>
      <c r="U167" s="403"/>
    </row>
    <row r="168" spans="1:22" outlineLevel="2" x14ac:dyDescent="0.25">
      <c r="A168" s="193">
        <v>3412</v>
      </c>
      <c r="B168" s="193">
        <v>5021</v>
      </c>
      <c r="C168" s="193">
        <v>2050</v>
      </c>
      <c r="D168" s="193">
        <v>16807</v>
      </c>
      <c r="E168" s="193">
        <v>0</v>
      </c>
      <c r="F168" s="194">
        <v>0</v>
      </c>
      <c r="G168" s="193">
        <v>0</v>
      </c>
      <c r="H168" s="193">
        <v>0</v>
      </c>
      <c r="I168" s="193">
        <v>0</v>
      </c>
      <c r="J168" s="321" t="str">
        <f t="shared" si="12"/>
        <v>3412/5021/2050/16807/0/0/0/0/0</v>
      </c>
      <c r="K168" s="321" t="s">
        <v>208</v>
      </c>
      <c r="L168" s="201">
        <v>0</v>
      </c>
      <c r="M168" s="201">
        <v>7830</v>
      </c>
      <c r="N168" s="201">
        <v>7875</v>
      </c>
      <c r="O168" s="201">
        <v>11000</v>
      </c>
      <c r="P168" s="201">
        <v>10200</v>
      </c>
      <c r="Q168" s="201">
        <v>10000</v>
      </c>
      <c r="R168" s="201">
        <v>10450</v>
      </c>
      <c r="S168" s="201">
        <v>15000</v>
      </c>
      <c r="T168" s="201"/>
      <c r="U168" s="403"/>
    </row>
    <row r="169" spans="1:22" outlineLevel="2" x14ac:dyDescent="0.25">
      <c r="A169" s="193">
        <v>3412</v>
      </c>
      <c r="B169" s="193">
        <v>5029</v>
      </c>
      <c r="C169" s="193">
        <v>2050</v>
      </c>
      <c r="D169" s="193">
        <v>16807</v>
      </c>
      <c r="E169" s="193">
        <v>0</v>
      </c>
      <c r="F169" s="194">
        <v>0</v>
      </c>
      <c r="G169" s="193">
        <v>0</v>
      </c>
      <c r="H169" s="193">
        <v>0</v>
      </c>
      <c r="I169" s="193">
        <v>0</v>
      </c>
      <c r="J169" s="321" t="str">
        <f t="shared" si="12"/>
        <v>3412/5029/2050/16807/0/0/0/0/0</v>
      </c>
      <c r="K169" s="321" t="s">
        <v>209</v>
      </c>
      <c r="L169" s="201"/>
      <c r="M169" s="201">
        <v>8000</v>
      </c>
      <c r="N169" s="201"/>
      <c r="O169" s="201"/>
      <c r="P169" s="201"/>
      <c r="Q169" s="201"/>
      <c r="R169" s="201"/>
      <c r="S169" s="201"/>
      <c r="T169" s="201"/>
      <c r="U169" s="403"/>
    </row>
    <row r="170" spans="1:22" s="59" customFormat="1" outlineLevel="2" x14ac:dyDescent="0.25">
      <c r="A170" s="193">
        <v>3412</v>
      </c>
      <c r="B170" s="193">
        <v>5011</v>
      </c>
      <c r="C170" s="193">
        <v>2050</v>
      </c>
      <c r="D170" s="193">
        <v>16807</v>
      </c>
      <c r="E170" s="193">
        <v>0</v>
      </c>
      <c r="F170" s="194">
        <v>0</v>
      </c>
      <c r="G170" s="193">
        <v>0</v>
      </c>
      <c r="H170" s="193">
        <v>0</v>
      </c>
      <c r="I170" s="193">
        <v>0</v>
      </c>
      <c r="J170" s="321" t="str">
        <f t="shared" ref="J170:J189" si="13">CONCATENATE(A170,"/",B170,"/",C170,"/",D170,"/",E170,"/",F170,"/",G170,"/",H170,"/",I170)</f>
        <v>3412/5011/2050/16807/0/0/0/0/0</v>
      </c>
      <c r="K170" s="321" t="s">
        <v>3712</v>
      </c>
      <c r="L170" s="201">
        <f>120627+251507</f>
        <v>372134</v>
      </c>
      <c r="M170" s="201">
        <v>422762</v>
      </c>
      <c r="N170" s="201">
        <v>423875</v>
      </c>
      <c r="O170" s="201">
        <v>428400</v>
      </c>
      <c r="P170" s="201">
        <v>522425</v>
      </c>
      <c r="Q170" s="201">
        <v>452150</v>
      </c>
      <c r="R170" s="201">
        <v>452150</v>
      </c>
      <c r="S170" s="201">
        <v>452220</v>
      </c>
      <c r="T170" s="201"/>
      <c r="U170" s="403"/>
      <c r="V170" s="351"/>
    </row>
    <row r="171" spans="1:22" outlineLevel="2" x14ac:dyDescent="0.25">
      <c r="A171" s="193">
        <v>3412</v>
      </c>
      <c r="B171" s="193">
        <v>5031</v>
      </c>
      <c r="C171" s="193">
        <v>2050</v>
      </c>
      <c r="D171" s="193">
        <v>16807</v>
      </c>
      <c r="E171" s="193">
        <v>0</v>
      </c>
      <c r="F171" s="194">
        <v>0</v>
      </c>
      <c r="G171" s="193">
        <v>0</v>
      </c>
      <c r="H171" s="193">
        <v>0</v>
      </c>
      <c r="I171" s="193">
        <v>0</v>
      </c>
      <c r="J171" s="321" t="str">
        <f t="shared" si="13"/>
        <v>3412/5031/2050/16807/0/0/0/0/0</v>
      </c>
      <c r="K171" s="321" t="s">
        <v>210</v>
      </c>
      <c r="L171" s="201">
        <f>30157+62878</f>
        <v>93035</v>
      </c>
      <c r="M171" s="201">
        <v>108464</v>
      </c>
      <c r="N171" s="201">
        <v>105128</v>
      </c>
      <c r="O171" s="201">
        <v>108478</v>
      </c>
      <c r="P171" s="201">
        <v>134039</v>
      </c>
      <c r="Q171" s="201">
        <v>112140</v>
      </c>
      <c r="R171" s="201">
        <v>112140</v>
      </c>
      <c r="S171" s="201">
        <v>112151</v>
      </c>
      <c r="T171" s="201"/>
      <c r="U171" s="403"/>
    </row>
    <row r="172" spans="1:22" outlineLevel="2" x14ac:dyDescent="0.25">
      <c r="A172" s="193">
        <v>3412</v>
      </c>
      <c r="B172" s="193">
        <v>5032</v>
      </c>
      <c r="C172" s="193">
        <v>2050</v>
      </c>
      <c r="D172" s="193">
        <v>16807</v>
      </c>
      <c r="E172" s="193">
        <v>0</v>
      </c>
      <c r="F172" s="194">
        <v>0</v>
      </c>
      <c r="G172" s="193">
        <v>0</v>
      </c>
      <c r="H172" s="193">
        <v>0</v>
      </c>
      <c r="I172" s="193">
        <v>0</v>
      </c>
      <c r="J172" s="321" t="str">
        <f t="shared" si="13"/>
        <v>3412/5032/2050/16807/0/0/0/0/0</v>
      </c>
      <c r="K172" s="321" t="s">
        <v>211</v>
      </c>
      <c r="L172" s="201">
        <f>10857+22635</f>
        <v>33492</v>
      </c>
      <c r="M172" s="201">
        <v>39214</v>
      </c>
      <c r="N172" s="201">
        <v>38152</v>
      </c>
      <c r="O172" s="201">
        <v>39366</v>
      </c>
      <c r="P172" s="201">
        <v>48640</v>
      </c>
      <c r="Q172" s="201">
        <v>40700</v>
      </c>
      <c r="R172" s="201">
        <v>40700</v>
      </c>
      <c r="S172" s="201">
        <v>40700</v>
      </c>
      <c r="T172" s="201"/>
      <c r="U172" s="403"/>
    </row>
    <row r="173" spans="1:22" outlineLevel="2" x14ac:dyDescent="0.25">
      <c r="A173" s="194">
        <v>6171</v>
      </c>
      <c r="B173" s="193">
        <v>5011</v>
      </c>
      <c r="C173" s="193">
        <v>2050</v>
      </c>
      <c r="D173" s="193">
        <v>13001</v>
      </c>
      <c r="E173" s="193">
        <v>0</v>
      </c>
      <c r="F173" s="194">
        <v>0</v>
      </c>
      <c r="G173" s="193">
        <v>0</v>
      </c>
      <c r="H173" s="193">
        <v>0</v>
      </c>
      <c r="I173" s="193">
        <v>0</v>
      </c>
      <c r="J173" s="321" t="str">
        <f t="shared" si="13"/>
        <v>6171/5011/2050/13001/0/0/0/0/0</v>
      </c>
      <c r="K173" s="321" t="s">
        <v>2487</v>
      </c>
      <c r="L173" s="201">
        <v>0</v>
      </c>
      <c r="M173" s="201">
        <f>471691+1015</f>
        <v>472706</v>
      </c>
      <c r="N173" s="201">
        <v>398771</v>
      </c>
      <c r="O173" s="201">
        <v>438530</v>
      </c>
      <c r="P173" s="201">
        <v>396391</v>
      </c>
      <c r="Q173" s="201">
        <v>517360</v>
      </c>
      <c r="R173" s="201">
        <v>517360</v>
      </c>
      <c r="S173" s="201"/>
      <c r="T173" s="201"/>
      <c r="U173" s="403"/>
    </row>
    <row r="174" spans="1:22" outlineLevel="2" x14ac:dyDescent="0.25">
      <c r="A174" s="187">
        <v>6171</v>
      </c>
      <c r="B174" s="187">
        <v>5424</v>
      </c>
      <c r="C174" s="187">
        <v>2050</v>
      </c>
      <c r="D174" s="187">
        <v>13001</v>
      </c>
      <c r="E174" s="187">
        <v>0</v>
      </c>
      <c r="F174" s="187">
        <v>0</v>
      </c>
      <c r="G174" s="187">
        <v>0</v>
      </c>
      <c r="H174" s="187">
        <v>0</v>
      </c>
      <c r="I174" s="187">
        <v>0</v>
      </c>
      <c r="J174" s="327" t="str">
        <f t="shared" si="13"/>
        <v>6171/5424/2050/13001/0/0/0/0/0</v>
      </c>
      <c r="K174" s="327" t="s">
        <v>3857</v>
      </c>
      <c r="L174" s="200"/>
      <c r="M174" s="200"/>
      <c r="N174" s="200"/>
      <c r="O174" s="200">
        <v>6014</v>
      </c>
      <c r="P174" s="200">
        <v>7604</v>
      </c>
      <c r="Q174" s="200">
        <v>15000</v>
      </c>
      <c r="R174" s="200">
        <v>15000</v>
      </c>
      <c r="S174" s="200"/>
      <c r="T174" s="200"/>
      <c r="U174" s="403"/>
    </row>
    <row r="175" spans="1:22" outlineLevel="2" x14ac:dyDescent="0.25">
      <c r="A175" s="194">
        <v>6171</v>
      </c>
      <c r="B175" s="193">
        <v>5031</v>
      </c>
      <c r="C175" s="193">
        <v>2050</v>
      </c>
      <c r="D175" s="193">
        <v>13001</v>
      </c>
      <c r="E175" s="193">
        <v>0</v>
      </c>
      <c r="F175" s="194">
        <v>0</v>
      </c>
      <c r="G175" s="193">
        <v>0</v>
      </c>
      <c r="H175" s="193">
        <v>0</v>
      </c>
      <c r="I175" s="193">
        <v>0</v>
      </c>
      <c r="J175" s="321" t="str">
        <f t="shared" si="13"/>
        <v>6171/5031/2050/13001/0/0/0/0/0</v>
      </c>
      <c r="K175" s="321" t="s">
        <v>3858</v>
      </c>
      <c r="L175" s="201">
        <v>0</v>
      </c>
      <c r="M175" s="201">
        <v>117451</v>
      </c>
      <c r="N175" s="201">
        <v>96932</v>
      </c>
      <c r="O175" s="201">
        <v>110990</v>
      </c>
      <c r="P175" s="201">
        <v>104507</v>
      </c>
      <c r="Q175" s="201">
        <v>128310</v>
      </c>
      <c r="R175" s="201">
        <v>128310</v>
      </c>
      <c r="S175" s="201"/>
      <c r="T175" s="201"/>
      <c r="U175" s="403"/>
    </row>
    <row r="176" spans="1:22" outlineLevel="2" x14ac:dyDescent="0.25">
      <c r="A176" s="194">
        <v>6171</v>
      </c>
      <c r="B176" s="193">
        <v>5032</v>
      </c>
      <c r="C176" s="193">
        <v>2050</v>
      </c>
      <c r="D176" s="193">
        <v>13001</v>
      </c>
      <c r="E176" s="193">
        <v>0</v>
      </c>
      <c r="F176" s="194">
        <v>0</v>
      </c>
      <c r="G176" s="193">
        <v>0</v>
      </c>
      <c r="H176" s="193">
        <v>0</v>
      </c>
      <c r="I176" s="193">
        <v>0</v>
      </c>
      <c r="J176" s="321" t="str">
        <f t="shared" si="13"/>
        <v>6171/5032/2050/13001/0/0/0/0/0</v>
      </c>
      <c r="K176" s="321" t="s">
        <v>3859</v>
      </c>
      <c r="L176" s="201">
        <v>0</v>
      </c>
      <c r="M176" s="201">
        <v>42451</v>
      </c>
      <c r="N176" s="201">
        <v>35181</v>
      </c>
      <c r="O176" s="201">
        <v>40285</v>
      </c>
      <c r="P176" s="201">
        <v>37928</v>
      </c>
      <c r="Q176" s="201">
        <v>46570</v>
      </c>
      <c r="R176" s="201">
        <v>46570</v>
      </c>
      <c r="S176" s="201"/>
      <c r="T176" s="201"/>
      <c r="U176" s="403"/>
    </row>
    <row r="177" spans="1:22" outlineLevel="2" x14ac:dyDescent="0.25">
      <c r="A177" s="194">
        <v>6112</v>
      </c>
      <c r="B177" s="193">
        <v>5169</v>
      </c>
      <c r="C177" s="193">
        <v>2050</v>
      </c>
      <c r="D177" s="193">
        <v>60207</v>
      </c>
      <c r="E177" s="193">
        <v>0</v>
      </c>
      <c r="F177" s="194">
        <v>0</v>
      </c>
      <c r="G177" s="193">
        <v>0</v>
      </c>
      <c r="H177" s="193">
        <v>0</v>
      </c>
      <c r="I177" s="193">
        <v>0</v>
      </c>
      <c r="J177" s="321" t="str">
        <f t="shared" si="13"/>
        <v>6112/5169/2050/60207/0/0/0/0/0</v>
      </c>
      <c r="K177" s="321" t="s">
        <v>4480</v>
      </c>
      <c r="L177" s="201"/>
      <c r="M177" s="201"/>
      <c r="N177" s="201"/>
      <c r="O177" s="201"/>
      <c r="P177" s="201"/>
      <c r="Q177" s="201">
        <v>23000</v>
      </c>
      <c r="R177" s="201">
        <v>73000</v>
      </c>
      <c r="S177" s="201">
        <v>66000</v>
      </c>
      <c r="T177" s="201"/>
      <c r="U177" s="403"/>
    </row>
    <row r="178" spans="1:22" outlineLevel="2" x14ac:dyDescent="0.25">
      <c r="A178" s="193">
        <v>6171</v>
      </c>
      <c r="B178" s="193">
        <v>5169</v>
      </c>
      <c r="C178" s="193">
        <v>2050</v>
      </c>
      <c r="D178" s="193">
        <v>60207</v>
      </c>
      <c r="E178" s="193">
        <v>0</v>
      </c>
      <c r="F178" s="194">
        <v>0</v>
      </c>
      <c r="G178" s="193">
        <v>0</v>
      </c>
      <c r="H178" s="193">
        <v>0</v>
      </c>
      <c r="I178" s="193">
        <v>0</v>
      </c>
      <c r="J178" s="321" t="str">
        <f t="shared" si="13"/>
        <v>6171/5169/2050/60207/0/0/0/0/0</v>
      </c>
      <c r="K178" s="321" t="s">
        <v>253</v>
      </c>
      <c r="L178" s="201">
        <v>3774487</v>
      </c>
      <c r="M178" s="201">
        <v>2278188</v>
      </c>
      <c r="N178" s="201">
        <v>3375635.5</v>
      </c>
      <c r="O178" s="201">
        <v>3081086.5</v>
      </c>
      <c r="P178" s="201">
        <v>3099595.5</v>
      </c>
      <c r="Q178" s="201">
        <f>3416000-23000</f>
        <v>3393000</v>
      </c>
      <c r="R178" s="201">
        <v>3393000</v>
      </c>
      <c r="S178" s="201">
        <v>3806000</v>
      </c>
      <c r="T178" s="201"/>
      <c r="U178" s="403"/>
    </row>
    <row r="179" spans="1:22" outlineLevel="2" x14ac:dyDescent="0.25">
      <c r="A179" s="187">
        <v>5212</v>
      </c>
      <c r="B179" s="187">
        <v>5169</v>
      </c>
      <c r="C179" s="187">
        <v>2050</v>
      </c>
      <c r="D179" s="187">
        <v>62005</v>
      </c>
      <c r="E179" s="187">
        <v>0</v>
      </c>
      <c r="F179" s="187">
        <v>0</v>
      </c>
      <c r="G179" s="187">
        <v>0</v>
      </c>
      <c r="H179" s="187">
        <v>0</v>
      </c>
      <c r="I179" s="187">
        <v>0</v>
      </c>
      <c r="J179" s="327" t="str">
        <f t="shared" si="13"/>
        <v>5212/5169/2050/62005/0/0/0/0/0</v>
      </c>
      <c r="K179" s="327" t="s">
        <v>4813</v>
      </c>
      <c r="L179" s="200"/>
      <c r="M179" s="200"/>
      <c r="N179" s="200"/>
      <c r="O179" s="200"/>
      <c r="P179" s="200"/>
      <c r="Q179" s="200"/>
      <c r="R179" s="200"/>
      <c r="S179" s="200">
        <v>1000</v>
      </c>
      <c r="T179" s="200"/>
      <c r="U179" s="403"/>
    </row>
    <row r="180" spans="1:22" outlineLevel="2" x14ac:dyDescent="0.25">
      <c r="A180" s="193">
        <v>6171</v>
      </c>
      <c r="B180" s="193">
        <v>5424</v>
      </c>
      <c r="C180" s="193">
        <v>2050</v>
      </c>
      <c r="D180" s="193">
        <v>0</v>
      </c>
      <c r="E180" s="193">
        <v>0</v>
      </c>
      <c r="F180" s="194">
        <v>0</v>
      </c>
      <c r="G180" s="193">
        <v>0</v>
      </c>
      <c r="H180" s="193">
        <v>0</v>
      </c>
      <c r="I180" s="193">
        <v>0</v>
      </c>
      <c r="J180" s="321" t="str">
        <f t="shared" si="13"/>
        <v>6171/5424/2050/0/0/0/0/0/0</v>
      </c>
      <c r="K180" s="321" t="s">
        <v>212</v>
      </c>
      <c r="L180" s="201">
        <v>291957</v>
      </c>
      <c r="M180" s="201">
        <v>332927</v>
      </c>
      <c r="N180" s="201">
        <v>811172</v>
      </c>
      <c r="O180" s="201">
        <v>914444</v>
      </c>
      <c r="P180" s="201">
        <v>1324501</v>
      </c>
      <c r="Q180" s="201">
        <v>900000</v>
      </c>
      <c r="R180" s="201">
        <v>900000</v>
      </c>
      <c r="S180" s="201">
        <v>900000</v>
      </c>
      <c r="T180" s="201"/>
      <c r="U180" s="403"/>
    </row>
    <row r="181" spans="1:22" outlineLevel="2" x14ac:dyDescent="0.25">
      <c r="A181" s="193">
        <v>6171</v>
      </c>
      <c r="B181" s="193">
        <v>5021</v>
      </c>
      <c r="C181" s="193">
        <v>2050</v>
      </c>
      <c r="D181" s="193">
        <v>0</v>
      </c>
      <c r="E181" s="193">
        <v>0</v>
      </c>
      <c r="F181" s="194">
        <v>0</v>
      </c>
      <c r="G181" s="193">
        <v>0</v>
      </c>
      <c r="H181" s="193">
        <v>0</v>
      </c>
      <c r="I181" s="193">
        <v>0</v>
      </c>
      <c r="J181" s="321" t="str">
        <f t="shared" si="13"/>
        <v>6171/5021/2050/0/0/0/0/0/0</v>
      </c>
      <c r="K181" s="321" t="s">
        <v>213</v>
      </c>
      <c r="L181" s="201">
        <v>689315</v>
      </c>
      <c r="M181" s="201">
        <v>935861</v>
      </c>
      <c r="N181" s="201">
        <v>732705</v>
      </c>
      <c r="O181" s="201">
        <v>590895</v>
      </c>
      <c r="P181" s="201">
        <v>616710</v>
      </c>
      <c r="Q181" s="201">
        <v>775620</v>
      </c>
      <c r="R181" s="201">
        <v>775620</v>
      </c>
      <c r="S181" s="201">
        <v>800000</v>
      </c>
      <c r="T181" s="201"/>
      <c r="U181" s="403"/>
    </row>
    <row r="182" spans="1:22" outlineLevel="2" x14ac:dyDescent="0.25">
      <c r="A182" s="193">
        <v>6171</v>
      </c>
      <c r="B182" s="193">
        <v>5011</v>
      </c>
      <c r="C182" s="193">
        <v>2050</v>
      </c>
      <c r="D182" s="193">
        <v>0</v>
      </c>
      <c r="E182" s="193">
        <v>0</v>
      </c>
      <c r="F182" s="194">
        <v>0</v>
      </c>
      <c r="G182" s="193">
        <v>0</v>
      </c>
      <c r="H182" s="193">
        <v>0</v>
      </c>
      <c r="I182" s="193">
        <v>0</v>
      </c>
      <c r="J182" s="321" t="str">
        <f t="shared" si="13"/>
        <v>6171/5011/2050/0/0/0/0/0/0</v>
      </c>
      <c r="K182" s="321" t="s">
        <v>3713</v>
      </c>
      <c r="L182" s="201">
        <v>61707377</v>
      </c>
      <c r="M182" s="201">
        <v>65432876</v>
      </c>
      <c r="N182" s="201">
        <v>64838861</v>
      </c>
      <c r="O182" s="201">
        <v>68277186</v>
      </c>
      <c r="P182" s="201">
        <v>70240991</v>
      </c>
      <c r="Q182" s="201">
        <v>81978750</v>
      </c>
      <c r="R182" s="201">
        <v>81978750</v>
      </c>
      <c r="S182" s="201">
        <v>81100296</v>
      </c>
      <c r="T182" s="201"/>
      <c r="U182" s="403"/>
    </row>
    <row r="183" spans="1:22" outlineLevel="2" x14ac:dyDescent="0.25">
      <c r="A183" s="193">
        <v>6171</v>
      </c>
      <c r="B183" s="193">
        <v>5029</v>
      </c>
      <c r="C183" s="193">
        <v>2050</v>
      </c>
      <c r="D183" s="193">
        <v>0</v>
      </c>
      <c r="E183" s="193">
        <v>0</v>
      </c>
      <c r="F183" s="194">
        <v>0</v>
      </c>
      <c r="G183" s="193">
        <v>0</v>
      </c>
      <c r="H183" s="193">
        <v>0</v>
      </c>
      <c r="I183" s="193">
        <v>0</v>
      </c>
      <c r="J183" s="321" t="str">
        <f t="shared" si="13"/>
        <v>6171/5029/2050/0/0/0/0/0/0</v>
      </c>
      <c r="K183" s="321" t="s">
        <v>214</v>
      </c>
      <c r="L183" s="201">
        <v>126000</v>
      </c>
      <c r="M183" s="201">
        <v>92000</v>
      </c>
      <c r="N183" s="201">
        <v>66000</v>
      </c>
      <c r="O183" s="201">
        <v>80000</v>
      </c>
      <c r="P183" s="201">
        <v>96000</v>
      </c>
      <c r="Q183" s="201">
        <v>152000</v>
      </c>
      <c r="R183" s="201">
        <v>152000</v>
      </c>
      <c r="S183" s="201">
        <v>114000</v>
      </c>
      <c r="T183" s="201"/>
      <c r="U183" s="403"/>
    </row>
    <row r="184" spans="1:22" s="60" customFormat="1" outlineLevel="2" x14ac:dyDescent="0.25">
      <c r="A184" s="193">
        <v>6171</v>
      </c>
      <c r="B184" s="193">
        <v>5031</v>
      </c>
      <c r="C184" s="193">
        <v>2050</v>
      </c>
      <c r="D184" s="193">
        <v>0</v>
      </c>
      <c r="E184" s="193">
        <v>0</v>
      </c>
      <c r="F184" s="194">
        <v>0</v>
      </c>
      <c r="G184" s="193">
        <v>0</v>
      </c>
      <c r="H184" s="193">
        <v>0</v>
      </c>
      <c r="I184" s="193">
        <v>0</v>
      </c>
      <c r="J184" s="321" t="str">
        <f t="shared" si="13"/>
        <v>6171/5031/2050/0/0/0/0/0/0</v>
      </c>
      <c r="K184" s="321" t="s">
        <v>215</v>
      </c>
      <c r="L184" s="201">
        <v>15665356</v>
      </c>
      <c r="M184" s="201">
        <v>16560999</v>
      </c>
      <c r="N184" s="201">
        <v>16339044</v>
      </c>
      <c r="O184" s="201">
        <v>17226060</v>
      </c>
      <c r="P184" s="201">
        <v>17522412</v>
      </c>
      <c r="Q184" s="201">
        <v>19647130</v>
      </c>
      <c r="R184" s="201">
        <v>19647130</v>
      </c>
      <c r="S184" s="201">
        <v>20112874</v>
      </c>
      <c r="T184" s="201"/>
      <c r="U184" s="403"/>
      <c r="V184" s="111"/>
    </row>
    <row r="185" spans="1:22" outlineLevel="2" x14ac:dyDescent="0.25">
      <c r="A185" s="193">
        <v>6171</v>
      </c>
      <c r="B185" s="193">
        <v>5032</v>
      </c>
      <c r="C185" s="193">
        <v>2050</v>
      </c>
      <c r="D185" s="193">
        <v>0</v>
      </c>
      <c r="E185" s="193">
        <v>0</v>
      </c>
      <c r="F185" s="194">
        <v>0</v>
      </c>
      <c r="G185" s="193">
        <v>0</v>
      </c>
      <c r="H185" s="193">
        <v>0</v>
      </c>
      <c r="I185" s="193">
        <v>0</v>
      </c>
      <c r="J185" s="321" t="str">
        <f t="shared" si="13"/>
        <v>6171/5032/2050/0/0/0/0/0/0</v>
      </c>
      <c r="K185" s="321" t="s">
        <v>216</v>
      </c>
      <c r="L185" s="201">
        <v>5639348</v>
      </c>
      <c r="M185" s="201">
        <v>5986271</v>
      </c>
      <c r="N185" s="201">
        <v>5929537</v>
      </c>
      <c r="O185" s="201">
        <v>6251407</v>
      </c>
      <c r="P185" s="201">
        <v>6390445</v>
      </c>
      <c r="Q185" s="201">
        <v>7130010</v>
      </c>
      <c r="R185" s="201">
        <v>7130010</v>
      </c>
      <c r="S185" s="201">
        <v>7299027</v>
      </c>
      <c r="T185" s="201"/>
      <c r="U185" s="403"/>
    </row>
    <row r="186" spans="1:22" outlineLevel="2" x14ac:dyDescent="0.25">
      <c r="A186" s="193">
        <v>6112</v>
      </c>
      <c r="B186" s="193">
        <v>5023</v>
      </c>
      <c r="C186" s="193">
        <v>2050</v>
      </c>
      <c r="D186" s="193">
        <v>0</v>
      </c>
      <c r="E186" s="193">
        <v>0</v>
      </c>
      <c r="F186" s="194">
        <v>0</v>
      </c>
      <c r="G186" s="193">
        <v>0</v>
      </c>
      <c r="H186" s="193">
        <v>0</v>
      </c>
      <c r="I186" s="193">
        <v>0</v>
      </c>
      <c r="J186" s="321" t="str">
        <f t="shared" si="13"/>
        <v>6112/5023/2050/0/0/0/0/0/0</v>
      </c>
      <c r="K186" s="321" t="s">
        <v>3715</v>
      </c>
      <c r="L186" s="201">
        <f>3316592+8132</f>
        <v>3324724</v>
      </c>
      <c r="M186" s="201">
        <v>4121168</v>
      </c>
      <c r="N186" s="201">
        <v>4410678</v>
      </c>
      <c r="O186" s="201">
        <v>4406971</v>
      </c>
      <c r="P186" s="201">
        <v>4996815</v>
      </c>
      <c r="Q186" s="201">
        <v>4414130</v>
      </c>
      <c r="R186" s="201">
        <v>4364130</v>
      </c>
      <c r="S186" s="201">
        <v>4361652</v>
      </c>
      <c r="T186" s="201"/>
      <c r="U186" s="403"/>
    </row>
    <row r="187" spans="1:22" s="60" customFormat="1" outlineLevel="2" x14ac:dyDescent="0.25">
      <c r="A187" s="193">
        <v>6112</v>
      </c>
      <c r="B187" s="193">
        <v>5031</v>
      </c>
      <c r="C187" s="193">
        <v>2050</v>
      </c>
      <c r="D187" s="193">
        <v>0</v>
      </c>
      <c r="E187" s="193">
        <v>0</v>
      </c>
      <c r="F187" s="194">
        <v>0</v>
      </c>
      <c r="G187" s="193">
        <v>0</v>
      </c>
      <c r="H187" s="193">
        <v>0</v>
      </c>
      <c r="I187" s="193">
        <v>0</v>
      </c>
      <c r="J187" s="321" t="str">
        <f t="shared" si="13"/>
        <v>6112/5031/2050/0/0/0/0/0/0</v>
      </c>
      <c r="K187" s="321" t="s">
        <v>218</v>
      </c>
      <c r="L187" s="201">
        <v>442531</v>
      </c>
      <c r="M187" s="201">
        <v>657688</v>
      </c>
      <c r="N187" s="201">
        <v>717879</v>
      </c>
      <c r="O187" s="201">
        <v>718436</v>
      </c>
      <c r="P187" s="201">
        <v>728672</v>
      </c>
      <c r="Q187" s="201">
        <v>711440</v>
      </c>
      <c r="R187" s="201">
        <v>711440</v>
      </c>
      <c r="S187" s="201">
        <v>708756</v>
      </c>
      <c r="T187" s="201"/>
      <c r="U187" s="403"/>
      <c r="V187" s="111"/>
    </row>
    <row r="188" spans="1:22" s="60" customFormat="1" outlineLevel="2" x14ac:dyDescent="0.25">
      <c r="A188" s="193">
        <v>6112</v>
      </c>
      <c r="B188" s="193">
        <v>5032</v>
      </c>
      <c r="C188" s="193">
        <v>2050</v>
      </c>
      <c r="D188" s="193">
        <v>0</v>
      </c>
      <c r="E188" s="193">
        <v>0</v>
      </c>
      <c r="F188" s="194">
        <v>0</v>
      </c>
      <c r="G188" s="193">
        <v>0</v>
      </c>
      <c r="H188" s="193">
        <v>0</v>
      </c>
      <c r="I188" s="193">
        <v>0</v>
      </c>
      <c r="J188" s="321" t="str">
        <f t="shared" si="13"/>
        <v>6112/5032/2050/0/0/0/0/0/0</v>
      </c>
      <c r="K188" s="321" t="s">
        <v>219</v>
      </c>
      <c r="L188" s="201">
        <v>280757</v>
      </c>
      <c r="M188" s="201">
        <v>384425</v>
      </c>
      <c r="N188" s="201">
        <v>408116</v>
      </c>
      <c r="O188" s="201">
        <v>409964</v>
      </c>
      <c r="P188" s="201">
        <v>409887</v>
      </c>
      <c r="Q188" s="201">
        <v>408260</v>
      </c>
      <c r="R188" s="201">
        <v>408260</v>
      </c>
      <c r="S188" s="201">
        <v>392556</v>
      </c>
      <c r="T188" s="201"/>
      <c r="U188" s="403"/>
      <c r="V188" s="111"/>
    </row>
    <row r="189" spans="1:22" s="60" customFormat="1" outlineLevel="2" x14ac:dyDescent="0.25">
      <c r="A189" s="265">
        <v>0</v>
      </c>
      <c r="B189" s="265">
        <v>5000</v>
      </c>
      <c r="C189" s="265">
        <v>2050</v>
      </c>
      <c r="D189" s="265">
        <v>0</v>
      </c>
      <c r="E189" s="265">
        <v>0</v>
      </c>
      <c r="F189" s="265">
        <v>0</v>
      </c>
      <c r="G189" s="265">
        <v>0</v>
      </c>
      <c r="H189" s="265">
        <v>0</v>
      </c>
      <c r="I189" s="265">
        <v>0</v>
      </c>
      <c r="J189" s="321" t="str">
        <f t="shared" si="13"/>
        <v>0/5000/2050/0/0/0/0/0/0</v>
      </c>
      <c r="K189" s="238" t="s">
        <v>4615</v>
      </c>
      <c r="L189" s="201"/>
      <c r="M189" s="201"/>
      <c r="N189" s="201">
        <v>2250</v>
      </c>
      <c r="O189" s="201"/>
      <c r="P189" s="201">
        <v>6235191</v>
      </c>
      <c r="Q189" s="201"/>
      <c r="R189" s="201">
        <v>23990</v>
      </c>
      <c r="S189" s="201"/>
      <c r="T189" s="201"/>
      <c r="U189" s="403"/>
      <c r="V189" s="111"/>
    </row>
    <row r="190" spans="1:22" s="60" customFormat="1" outlineLevel="1" x14ac:dyDescent="0.25">
      <c r="A190" s="500"/>
      <c r="B190" s="500"/>
      <c r="C190" s="501" t="s">
        <v>4663</v>
      </c>
      <c r="D190" s="500"/>
      <c r="E190" s="500"/>
      <c r="F190" s="500"/>
      <c r="G190" s="500"/>
      <c r="H190" s="500"/>
      <c r="I190" s="500"/>
      <c r="J190" s="493">
        <v>2050</v>
      </c>
      <c r="K190" s="493" t="str">
        <f>VLOOKUP(J190,orJ_správce_telefon_mail!A:B,2,0)</f>
        <v>Oddělení personální a krizového řízení - Mgr. Hotovcová</v>
      </c>
      <c r="L190" s="494">
        <f t="shared" ref="L190:T190" si="14">SUBTOTAL(9,L106:L189)</f>
        <v>96684829.120000005</v>
      </c>
      <c r="M190" s="494">
        <f t="shared" si="14"/>
        <v>104885237.73999999</v>
      </c>
      <c r="N190" s="494">
        <f t="shared" si="14"/>
        <v>108547838.33</v>
      </c>
      <c r="O190" s="494">
        <f t="shared" si="14"/>
        <v>113390406.48999999</v>
      </c>
      <c r="P190" s="494">
        <f t="shared" si="14"/>
        <v>124706553.15000001</v>
      </c>
      <c r="Q190" s="494">
        <f t="shared" si="14"/>
        <v>134058620</v>
      </c>
      <c r="R190" s="494">
        <f t="shared" si="14"/>
        <v>140076174</v>
      </c>
      <c r="S190" s="494">
        <f t="shared" si="14"/>
        <v>134868520</v>
      </c>
      <c r="T190" s="494">
        <f t="shared" si="14"/>
        <v>0</v>
      </c>
      <c r="U190" s="541"/>
      <c r="V190" s="111"/>
    </row>
    <row r="191" spans="1:22" s="59" customFormat="1" outlineLevel="2" x14ac:dyDescent="0.25">
      <c r="A191" s="187">
        <v>6171</v>
      </c>
      <c r="B191" s="187">
        <v>5169</v>
      </c>
      <c r="C191" s="187">
        <v>2055</v>
      </c>
      <c r="D191" s="187">
        <v>0</v>
      </c>
      <c r="E191" s="187">
        <v>0</v>
      </c>
      <c r="F191" s="187">
        <v>0</v>
      </c>
      <c r="G191" s="187">
        <v>0</v>
      </c>
      <c r="H191" s="187">
        <v>3</v>
      </c>
      <c r="I191" s="187">
        <v>0</v>
      </c>
      <c r="J191" s="327" t="str">
        <f t="shared" ref="J191:J201" si="15">CONCATENATE(A191,"/",B191,"/",C191,"/",D191,"/",E191,"/",F191,"/",G191,"/",H191,"/",I191)</f>
        <v>6171/5169/2055/0/0/0/0/3/0</v>
      </c>
      <c r="K191" s="327" t="s">
        <v>4398</v>
      </c>
      <c r="L191" s="200"/>
      <c r="M191" s="200"/>
      <c r="N191" s="200"/>
      <c r="O191" s="200"/>
      <c r="P191" s="200"/>
      <c r="Q191" s="200">
        <v>200000</v>
      </c>
      <c r="R191" s="200">
        <v>200000</v>
      </c>
      <c r="S191" s="200">
        <v>200000</v>
      </c>
      <c r="T191" s="200"/>
      <c r="U191" s="403"/>
      <c r="V191" s="351"/>
    </row>
    <row r="192" spans="1:22" outlineLevel="2" x14ac:dyDescent="0.25">
      <c r="A192" s="193">
        <v>6171</v>
      </c>
      <c r="B192" s="193">
        <v>5137</v>
      </c>
      <c r="C192" s="193">
        <v>2055</v>
      </c>
      <c r="D192" s="193">
        <v>0</v>
      </c>
      <c r="E192" s="193">
        <v>0</v>
      </c>
      <c r="F192" s="194">
        <v>0</v>
      </c>
      <c r="G192" s="193">
        <v>0</v>
      </c>
      <c r="H192" s="193">
        <v>0</v>
      </c>
      <c r="I192" s="193">
        <v>0</v>
      </c>
      <c r="J192" s="321" t="str">
        <f t="shared" si="15"/>
        <v>6171/5137/2055/0/0/0/0/0/0</v>
      </c>
      <c r="K192" s="321" t="s">
        <v>220</v>
      </c>
      <c r="L192" s="201">
        <v>587452</v>
      </c>
      <c r="M192" s="201">
        <v>905124.08</v>
      </c>
      <c r="N192" s="201">
        <v>853530.36</v>
      </c>
      <c r="O192" s="201">
        <v>1316132.47</v>
      </c>
      <c r="P192" s="201">
        <v>566427.46</v>
      </c>
      <c r="Q192" s="201">
        <v>640000</v>
      </c>
      <c r="R192" s="201">
        <v>640000</v>
      </c>
      <c r="S192" s="201">
        <v>540000</v>
      </c>
      <c r="T192" s="201"/>
      <c r="U192" s="403"/>
    </row>
    <row r="193" spans="1:22" s="59" customFormat="1" outlineLevel="2" x14ac:dyDescent="0.25">
      <c r="A193" s="193">
        <v>6171</v>
      </c>
      <c r="B193" s="193">
        <v>5042</v>
      </c>
      <c r="C193" s="193">
        <v>2055</v>
      </c>
      <c r="D193" s="193">
        <v>0</v>
      </c>
      <c r="E193" s="193">
        <v>0</v>
      </c>
      <c r="F193" s="194">
        <v>0</v>
      </c>
      <c r="G193" s="193">
        <v>0</v>
      </c>
      <c r="H193" s="193">
        <v>0</v>
      </c>
      <c r="I193" s="193">
        <v>0</v>
      </c>
      <c r="J193" s="321" t="str">
        <f t="shared" si="15"/>
        <v>6171/5042/2055/0/0/0/0/0/0</v>
      </c>
      <c r="K193" s="321" t="s">
        <v>221</v>
      </c>
      <c r="L193" s="201">
        <v>43560</v>
      </c>
      <c r="M193" s="201">
        <v>43560</v>
      </c>
      <c r="N193" s="201">
        <v>47190</v>
      </c>
      <c r="O193" s="201">
        <v>185296.98</v>
      </c>
      <c r="P193" s="201">
        <v>43560</v>
      </c>
      <c r="Q193" s="201">
        <v>48000</v>
      </c>
      <c r="R193" s="201">
        <v>48000</v>
      </c>
      <c r="S193" s="201">
        <v>48000</v>
      </c>
      <c r="T193" s="201"/>
      <c r="U193" s="403"/>
      <c r="V193" s="351"/>
    </row>
    <row r="194" spans="1:22" s="59" customFormat="1" outlineLevel="2" x14ac:dyDescent="0.25">
      <c r="A194" s="193">
        <v>6171</v>
      </c>
      <c r="B194" s="193">
        <v>5139</v>
      </c>
      <c r="C194" s="193">
        <v>2055</v>
      </c>
      <c r="D194" s="193">
        <v>0</v>
      </c>
      <c r="E194" s="193">
        <v>0</v>
      </c>
      <c r="F194" s="194">
        <v>0</v>
      </c>
      <c r="G194" s="193">
        <v>0</v>
      </c>
      <c r="H194" s="193">
        <v>0</v>
      </c>
      <c r="I194" s="193">
        <v>0</v>
      </c>
      <c r="J194" s="321" t="str">
        <f t="shared" si="15"/>
        <v>6171/5139/2055/0/0/0/0/0/0</v>
      </c>
      <c r="K194" s="321" t="s">
        <v>222</v>
      </c>
      <c r="L194" s="201">
        <v>218733.36</v>
      </c>
      <c r="M194" s="201">
        <v>201763.05</v>
      </c>
      <c r="N194" s="201">
        <v>190340.57</v>
      </c>
      <c r="O194" s="201">
        <v>207353.12000000002</v>
      </c>
      <c r="P194" s="201">
        <v>231233.07</v>
      </c>
      <c r="Q194" s="201">
        <v>200000</v>
      </c>
      <c r="R194" s="201">
        <v>200000</v>
      </c>
      <c r="S194" s="201">
        <v>200000</v>
      </c>
      <c r="T194" s="201"/>
      <c r="U194" s="403"/>
      <c r="V194" s="351"/>
    </row>
    <row r="195" spans="1:22" outlineLevel="2" x14ac:dyDescent="0.25">
      <c r="A195" s="193">
        <v>6171</v>
      </c>
      <c r="B195" s="193">
        <v>5169</v>
      </c>
      <c r="C195" s="193">
        <v>2055</v>
      </c>
      <c r="D195" s="193">
        <v>0</v>
      </c>
      <c r="E195" s="193">
        <v>0</v>
      </c>
      <c r="F195" s="194">
        <v>0</v>
      </c>
      <c r="G195" s="193">
        <v>0</v>
      </c>
      <c r="H195" s="193">
        <v>0</v>
      </c>
      <c r="I195" s="193">
        <v>0</v>
      </c>
      <c r="J195" s="321" t="str">
        <f t="shared" si="15"/>
        <v>6171/5169/2055/0/0/0/0/0/0</v>
      </c>
      <c r="K195" s="321" t="s">
        <v>223</v>
      </c>
      <c r="L195" s="201">
        <v>69999</v>
      </c>
      <c r="M195" s="201">
        <v>19402.349999999999</v>
      </c>
      <c r="N195" s="201"/>
      <c r="O195" s="201">
        <v>14668</v>
      </c>
      <c r="P195" s="201">
        <v>40754.25</v>
      </c>
      <c r="Q195" s="201">
        <v>50000</v>
      </c>
      <c r="R195" s="201">
        <v>50000</v>
      </c>
      <c r="S195" s="201">
        <v>50000</v>
      </c>
      <c r="T195" s="201"/>
      <c r="U195" s="403"/>
    </row>
    <row r="196" spans="1:22" outlineLevel="2" x14ac:dyDescent="0.25">
      <c r="A196" s="193">
        <v>6171</v>
      </c>
      <c r="B196" s="193">
        <v>5171</v>
      </c>
      <c r="C196" s="193">
        <v>2055</v>
      </c>
      <c r="D196" s="193">
        <v>0</v>
      </c>
      <c r="E196" s="193">
        <v>0</v>
      </c>
      <c r="F196" s="194">
        <v>0</v>
      </c>
      <c r="G196" s="193">
        <v>0</v>
      </c>
      <c r="H196" s="193">
        <v>0</v>
      </c>
      <c r="I196" s="193">
        <v>0</v>
      </c>
      <c r="J196" s="321" t="str">
        <f t="shared" si="15"/>
        <v>6171/5171/2055/0/0/0/0/0/0</v>
      </c>
      <c r="K196" s="321" t="s">
        <v>224</v>
      </c>
      <c r="L196" s="201">
        <v>77048.899999999994</v>
      </c>
      <c r="M196" s="201">
        <v>59012</v>
      </c>
      <c r="N196" s="201">
        <v>137952.07</v>
      </c>
      <c r="O196" s="201">
        <v>39502.199999999997</v>
      </c>
      <c r="P196" s="201">
        <v>57816.24</v>
      </c>
      <c r="Q196" s="201">
        <v>100000</v>
      </c>
      <c r="R196" s="201">
        <v>100000</v>
      </c>
      <c r="S196" s="201">
        <v>100000</v>
      </c>
      <c r="T196" s="201"/>
      <c r="U196" s="403"/>
    </row>
    <row r="197" spans="1:22" outlineLevel="2" x14ac:dyDescent="0.25">
      <c r="A197" s="193">
        <v>6171</v>
      </c>
      <c r="B197" s="193">
        <v>5172</v>
      </c>
      <c r="C197" s="193">
        <v>2055</v>
      </c>
      <c r="D197" s="193">
        <v>0</v>
      </c>
      <c r="E197" s="193">
        <v>0</v>
      </c>
      <c r="F197" s="194">
        <v>0</v>
      </c>
      <c r="G197" s="193">
        <v>0</v>
      </c>
      <c r="H197" s="193">
        <v>0</v>
      </c>
      <c r="I197" s="193">
        <v>0</v>
      </c>
      <c r="J197" s="321" t="str">
        <f t="shared" si="15"/>
        <v>6171/5172/2055/0/0/0/0/0/0</v>
      </c>
      <c r="K197" s="321" t="s">
        <v>225</v>
      </c>
      <c r="L197" s="201">
        <v>431119</v>
      </c>
      <c r="M197" s="201">
        <v>189574.39999999999</v>
      </c>
      <c r="N197" s="201">
        <v>42180.6</v>
      </c>
      <c r="O197" s="201">
        <v>111576</v>
      </c>
      <c r="P197" s="201">
        <v>9070.52</v>
      </c>
      <c r="Q197" s="201">
        <v>50000</v>
      </c>
      <c r="R197" s="201">
        <v>50000</v>
      </c>
      <c r="S197" s="201">
        <v>50000</v>
      </c>
      <c r="T197" s="201"/>
      <c r="U197" s="403"/>
    </row>
    <row r="198" spans="1:22" s="62" customFormat="1" outlineLevel="2" x14ac:dyDescent="0.25">
      <c r="A198" s="193">
        <v>6171</v>
      </c>
      <c r="B198" s="193">
        <v>5168</v>
      </c>
      <c r="C198" s="193">
        <v>2055</v>
      </c>
      <c r="D198" s="193">
        <v>0</v>
      </c>
      <c r="E198" s="193">
        <v>0</v>
      </c>
      <c r="F198" s="194">
        <v>0</v>
      </c>
      <c r="G198" s="193">
        <v>0</v>
      </c>
      <c r="H198" s="193">
        <v>0</v>
      </c>
      <c r="I198" s="193">
        <v>0</v>
      </c>
      <c r="J198" s="321" t="str">
        <f t="shared" si="15"/>
        <v>6171/5168/2055/0/0/0/0/0/0</v>
      </c>
      <c r="K198" s="321" t="s">
        <v>226</v>
      </c>
      <c r="L198" s="201">
        <v>1132731.52</v>
      </c>
      <c r="M198" s="201">
        <v>1288040.04</v>
      </c>
      <c r="N198" s="201">
        <v>1360157.31</v>
      </c>
      <c r="O198" s="201">
        <v>1519050.08</v>
      </c>
      <c r="P198" s="201">
        <v>1640508.97</v>
      </c>
      <c r="Q198" s="201">
        <v>1500000</v>
      </c>
      <c r="R198" s="201">
        <v>1697000</v>
      </c>
      <c r="S198" s="201">
        <v>1600000</v>
      </c>
      <c r="T198" s="201"/>
      <c r="U198" s="403"/>
      <c r="V198" s="355"/>
    </row>
    <row r="199" spans="1:22" s="62" customFormat="1" outlineLevel="2" x14ac:dyDescent="0.25">
      <c r="A199" s="193">
        <v>6171</v>
      </c>
      <c r="B199" s="193">
        <v>5169</v>
      </c>
      <c r="C199" s="193">
        <v>2055</v>
      </c>
      <c r="D199" s="193">
        <v>0</v>
      </c>
      <c r="E199" s="193">
        <v>0</v>
      </c>
      <c r="F199" s="194">
        <v>0</v>
      </c>
      <c r="G199" s="193">
        <v>0</v>
      </c>
      <c r="H199" s="193">
        <v>4</v>
      </c>
      <c r="I199" s="193">
        <v>0</v>
      </c>
      <c r="J199" s="321" t="str">
        <f t="shared" si="15"/>
        <v>6171/5169/2055/0/0/0/0/4/0</v>
      </c>
      <c r="K199" s="321" t="s">
        <v>227</v>
      </c>
      <c r="L199" s="201">
        <v>0</v>
      </c>
      <c r="M199" s="201"/>
      <c r="N199" s="201"/>
      <c r="O199" s="201"/>
      <c r="P199" s="201"/>
      <c r="Q199" s="201">
        <v>50000</v>
      </c>
      <c r="R199" s="201">
        <v>50000</v>
      </c>
      <c r="S199" s="201">
        <v>50000</v>
      </c>
      <c r="T199" s="201"/>
      <c r="U199" s="403"/>
      <c r="V199" s="355"/>
    </row>
    <row r="200" spans="1:22" outlineLevel="2" x14ac:dyDescent="0.25">
      <c r="A200" s="193">
        <v>6171</v>
      </c>
      <c r="B200" s="193">
        <v>5168</v>
      </c>
      <c r="C200" s="193">
        <v>2055</v>
      </c>
      <c r="D200" s="193">
        <v>30012</v>
      </c>
      <c r="E200" s="193">
        <v>0</v>
      </c>
      <c r="F200" s="194">
        <v>0</v>
      </c>
      <c r="G200" s="193">
        <v>0</v>
      </c>
      <c r="H200" s="193">
        <v>0</v>
      </c>
      <c r="I200" s="193">
        <v>0</v>
      </c>
      <c r="J200" s="321" t="str">
        <f t="shared" si="15"/>
        <v>6171/5168/2055/30012/0/0/0/0/0</v>
      </c>
      <c r="K200" s="321" t="s">
        <v>3730</v>
      </c>
      <c r="L200" s="201"/>
      <c r="M200" s="201">
        <v>101315.65</v>
      </c>
      <c r="N200" s="201">
        <v>118431.6</v>
      </c>
      <c r="O200" s="201">
        <v>49452</v>
      </c>
      <c r="P200" s="201">
        <v>49452</v>
      </c>
      <c r="Q200" s="201">
        <v>162000</v>
      </c>
      <c r="R200" s="201">
        <v>162000</v>
      </c>
      <c r="S200" s="201">
        <v>162000</v>
      </c>
      <c r="T200" s="201"/>
      <c r="U200" s="403"/>
    </row>
    <row r="201" spans="1:22" outlineLevel="2" x14ac:dyDescent="0.25">
      <c r="A201" s="193">
        <v>0</v>
      </c>
      <c r="B201" s="193">
        <v>5000</v>
      </c>
      <c r="C201" s="193">
        <v>2055</v>
      </c>
      <c r="D201" s="193">
        <v>0</v>
      </c>
      <c r="E201" s="193">
        <v>0</v>
      </c>
      <c r="F201" s="194">
        <v>0</v>
      </c>
      <c r="G201" s="193">
        <v>0</v>
      </c>
      <c r="H201" s="193">
        <v>0</v>
      </c>
      <c r="I201" s="193">
        <v>0</v>
      </c>
      <c r="J201" s="321" t="str">
        <f t="shared" si="15"/>
        <v>0/5000/2055/0/0/0/0/0/0</v>
      </c>
      <c r="K201" s="321" t="s">
        <v>3729</v>
      </c>
      <c r="L201" s="201">
        <v>114301.44</v>
      </c>
      <c r="M201" s="201">
        <f>4585.9+13721.4</f>
        <v>18307.3</v>
      </c>
      <c r="N201" s="201">
        <v>605</v>
      </c>
      <c r="O201" s="201"/>
      <c r="P201" s="201"/>
      <c r="Q201" s="201"/>
      <c r="R201" s="201"/>
      <c r="S201" s="201"/>
      <c r="T201" s="201"/>
      <c r="U201" s="403"/>
    </row>
    <row r="202" spans="1:22" outlineLevel="1" x14ac:dyDescent="0.25">
      <c r="A202" s="491"/>
      <c r="B202" s="491"/>
      <c r="C202" s="499" t="s">
        <v>4664</v>
      </c>
      <c r="D202" s="491"/>
      <c r="E202" s="491"/>
      <c r="F202" s="492"/>
      <c r="G202" s="491"/>
      <c r="H202" s="491"/>
      <c r="I202" s="491"/>
      <c r="J202" s="493">
        <v>2055</v>
      </c>
      <c r="K202" s="493" t="str">
        <f>VLOOKUP(J202,orJ_správce_telefon_mail!A:B,2,0)</f>
        <v>Oddělení informatiky - Ing. Čermák</v>
      </c>
      <c r="L202" s="494">
        <f t="shared" ref="L202:T202" si="16">SUBTOTAL(9,L191:L201)</f>
        <v>2674945.2200000002</v>
      </c>
      <c r="M202" s="494">
        <f t="shared" si="16"/>
        <v>2826098.8699999996</v>
      </c>
      <c r="N202" s="494">
        <f t="shared" si="16"/>
        <v>2750387.5100000002</v>
      </c>
      <c r="O202" s="494">
        <f t="shared" si="16"/>
        <v>3443030.85</v>
      </c>
      <c r="P202" s="494">
        <f t="shared" si="16"/>
        <v>2638822.5099999998</v>
      </c>
      <c r="Q202" s="494">
        <f t="shared" si="16"/>
        <v>3000000</v>
      </c>
      <c r="R202" s="494">
        <f t="shared" si="16"/>
        <v>3197000</v>
      </c>
      <c r="S202" s="494">
        <f t="shared" si="16"/>
        <v>3000000</v>
      </c>
      <c r="T202" s="494">
        <f t="shared" si="16"/>
        <v>0</v>
      </c>
      <c r="U202" s="541"/>
    </row>
    <row r="203" spans="1:22" outlineLevel="2" x14ac:dyDescent="0.25">
      <c r="A203" s="193">
        <v>6171</v>
      </c>
      <c r="B203" s="193">
        <v>5173</v>
      </c>
      <c r="C203" s="193">
        <v>2059</v>
      </c>
      <c r="D203" s="193">
        <v>0</v>
      </c>
      <c r="E203" s="193">
        <v>0</v>
      </c>
      <c r="F203" s="194">
        <v>0</v>
      </c>
      <c r="G203" s="193">
        <v>0</v>
      </c>
      <c r="H203" s="193">
        <v>0</v>
      </c>
      <c r="I203" s="193">
        <v>0</v>
      </c>
      <c r="J203" s="321" t="str">
        <f>CONCATENATE(A203,"/",B203,"/",C203,"/",D203,"/",E203,"/",F203,"/",G203,"/",H203,"/",I203)</f>
        <v>6171/5173/2059/0/0/0/0/0/0</v>
      </c>
      <c r="K203" s="321" t="s">
        <v>191</v>
      </c>
      <c r="L203" s="201">
        <f>29592.96+163380.5</f>
        <v>192973.46</v>
      </c>
      <c r="M203" s="201">
        <f>28183.54+241362</f>
        <v>269545.53999999998</v>
      </c>
      <c r="N203" s="201">
        <v>89906</v>
      </c>
      <c r="O203" s="201">
        <v>98861.68</v>
      </c>
      <c r="P203" s="201">
        <v>142860.4</v>
      </c>
      <c r="Q203" s="201">
        <v>192712</v>
      </c>
      <c r="R203" s="201">
        <v>192712</v>
      </c>
      <c r="S203" s="201">
        <v>200000</v>
      </c>
      <c r="T203" s="201"/>
      <c r="U203" s="403"/>
    </row>
    <row r="204" spans="1:22" outlineLevel="2" x14ac:dyDescent="0.25">
      <c r="A204" s="209">
        <v>6171</v>
      </c>
      <c r="B204" s="209">
        <v>5179</v>
      </c>
      <c r="C204" s="209">
        <v>2059</v>
      </c>
      <c r="D204" s="209">
        <v>48603</v>
      </c>
      <c r="E204" s="209">
        <v>0</v>
      </c>
      <c r="F204" s="210">
        <v>0</v>
      </c>
      <c r="G204" s="209">
        <v>0</v>
      </c>
      <c r="H204" s="209">
        <v>0</v>
      </c>
      <c r="I204" s="209">
        <v>0</v>
      </c>
      <c r="J204" s="324" t="str">
        <f>CONCATENATE(A204,"/",B204,"/",C204,"/",D204,"/",E204,"/",F204,"/",G204,"/",H204,"/",I204)</f>
        <v>6171/5179/2059/48603/0/0/0/0/0</v>
      </c>
      <c r="K204" s="324" t="s">
        <v>228</v>
      </c>
      <c r="L204" s="206">
        <v>3000</v>
      </c>
      <c r="M204" s="206">
        <v>3000</v>
      </c>
      <c r="N204" s="206">
        <v>3000</v>
      </c>
      <c r="O204" s="206">
        <v>3000</v>
      </c>
      <c r="P204" s="206">
        <v>3000</v>
      </c>
      <c r="Q204" s="206">
        <v>3000</v>
      </c>
      <c r="R204" s="206">
        <v>3000</v>
      </c>
      <c r="S204" s="206">
        <v>3000</v>
      </c>
      <c r="T204" s="206"/>
      <c r="U204" s="531"/>
    </row>
    <row r="205" spans="1:22" outlineLevel="2" x14ac:dyDescent="0.25">
      <c r="A205" s="193">
        <v>6171</v>
      </c>
      <c r="B205" s="193">
        <v>5137</v>
      </c>
      <c r="C205" s="193">
        <v>2059</v>
      </c>
      <c r="D205" s="193">
        <v>0</v>
      </c>
      <c r="E205" s="193">
        <v>0</v>
      </c>
      <c r="F205" s="194">
        <v>0</v>
      </c>
      <c r="G205" s="193">
        <v>0</v>
      </c>
      <c r="H205" s="193">
        <v>0</v>
      </c>
      <c r="I205" s="193">
        <v>0</v>
      </c>
      <c r="J205" s="321" t="str">
        <f>CONCATENATE(A205,"/",B205,"/",C205,"/",D205,"/",E205,"/",F205,"/",G205,"/",H205,"/",I205)</f>
        <v>6171/5137/2059/0/0/0/0/0/0</v>
      </c>
      <c r="K205" s="321" t="s">
        <v>229</v>
      </c>
      <c r="L205" s="201">
        <v>1075839.48</v>
      </c>
      <c r="M205" s="201">
        <v>1260394.25</v>
      </c>
      <c r="N205" s="201">
        <v>907564.09</v>
      </c>
      <c r="O205" s="201">
        <v>667434.16</v>
      </c>
      <c r="P205" s="201">
        <v>633025.35</v>
      </c>
      <c r="Q205" s="201">
        <f>523176+300000</f>
        <v>823176</v>
      </c>
      <c r="R205" s="201">
        <v>823176</v>
      </c>
      <c r="S205" s="201">
        <v>900000</v>
      </c>
      <c r="T205" s="201"/>
      <c r="U205" s="403"/>
    </row>
    <row r="206" spans="1:22" outlineLevel="2" x14ac:dyDescent="0.25">
      <c r="A206" s="193">
        <v>6171</v>
      </c>
      <c r="B206" s="193">
        <v>5162</v>
      </c>
      <c r="C206" s="193">
        <v>2059</v>
      </c>
      <c r="D206" s="193">
        <v>18667</v>
      </c>
      <c r="E206" s="193">
        <v>0</v>
      </c>
      <c r="F206" s="194">
        <v>0</v>
      </c>
      <c r="G206" s="193">
        <v>0</v>
      </c>
      <c r="H206" s="193">
        <v>0</v>
      </c>
      <c r="I206" s="193">
        <v>0</v>
      </c>
      <c r="J206" s="321" t="str">
        <f>CONCATENATE(A206,"/",B206,"/",C206,"/",D206,"/",E206,"/",F206,"/",G206,"/",H206,"/",I206)</f>
        <v>6171/5162/2059/18667/0/0/0/0/0</v>
      </c>
      <c r="K206" s="321" t="s">
        <v>3835</v>
      </c>
      <c r="L206" s="201">
        <v>34871.01</v>
      </c>
      <c r="M206" s="201">
        <v>35561.19</v>
      </c>
      <c r="N206" s="201">
        <v>42456.54</v>
      </c>
      <c r="O206" s="201">
        <v>47734.37</v>
      </c>
      <c r="P206" s="201">
        <v>49133.54</v>
      </c>
      <c r="Q206" s="201">
        <v>60000</v>
      </c>
      <c r="R206" s="201">
        <v>60000</v>
      </c>
      <c r="S206" s="201">
        <v>60000</v>
      </c>
      <c r="T206" s="201"/>
      <c r="U206" s="403"/>
    </row>
    <row r="207" spans="1:22" outlineLevel="2" x14ac:dyDescent="0.25">
      <c r="A207" s="193">
        <v>6171</v>
      </c>
      <c r="B207" s="193">
        <v>5139</v>
      </c>
      <c r="C207" s="193">
        <v>2059</v>
      </c>
      <c r="D207" s="193">
        <v>0</v>
      </c>
      <c r="E207" s="193">
        <v>0</v>
      </c>
      <c r="F207" s="194">
        <v>0</v>
      </c>
      <c r="G207" s="193">
        <v>0</v>
      </c>
      <c r="H207" s="193">
        <v>60</v>
      </c>
      <c r="I207" s="193">
        <v>0</v>
      </c>
      <c r="J207" s="321" t="s">
        <v>4723</v>
      </c>
      <c r="K207" s="321" t="s">
        <v>4721</v>
      </c>
      <c r="L207" s="201"/>
      <c r="M207" s="201"/>
      <c r="N207" s="201"/>
      <c r="O207" s="201"/>
      <c r="P207" s="201"/>
      <c r="Q207" s="201"/>
      <c r="R207" s="201">
        <v>10580</v>
      </c>
      <c r="S207" s="201">
        <v>10000</v>
      </c>
      <c r="T207" s="201"/>
      <c r="U207" s="403"/>
    </row>
    <row r="208" spans="1:22" outlineLevel="2" x14ac:dyDescent="0.25">
      <c r="A208" s="193">
        <v>6171</v>
      </c>
      <c r="B208" s="193">
        <v>5171</v>
      </c>
      <c r="C208" s="193">
        <v>2059</v>
      </c>
      <c r="D208" s="193">
        <v>0</v>
      </c>
      <c r="E208" s="193">
        <v>0</v>
      </c>
      <c r="F208" s="194">
        <v>0</v>
      </c>
      <c r="G208" s="193">
        <v>0</v>
      </c>
      <c r="H208" s="193">
        <v>60</v>
      </c>
      <c r="I208" s="193">
        <v>0</v>
      </c>
      <c r="J208" s="321" t="str">
        <f>CONCATENATE(A208,"/",B208,"/",C208,"/",D208,"/",E208,"/",F208,"/",G208,"/",H208,"/",I208)</f>
        <v>6171/5171/2059/0/0/0/0/60/0</v>
      </c>
      <c r="K208" s="321" t="s">
        <v>231</v>
      </c>
      <c r="L208" s="201">
        <v>54605</v>
      </c>
      <c r="M208" s="201">
        <v>59807</v>
      </c>
      <c r="N208" s="201">
        <v>42544.800000000003</v>
      </c>
      <c r="O208" s="201">
        <v>79807</v>
      </c>
      <c r="P208" s="201">
        <v>435518.57</v>
      </c>
      <c r="Q208" s="201">
        <v>150000</v>
      </c>
      <c r="R208" s="201">
        <v>450000</v>
      </c>
      <c r="S208" s="201">
        <v>150000</v>
      </c>
      <c r="T208" s="201"/>
      <c r="U208" s="403"/>
    </row>
    <row r="209" spans="1:21" outlineLevel="2" x14ac:dyDescent="0.25">
      <c r="A209" s="193">
        <v>6171</v>
      </c>
      <c r="B209" s="193">
        <v>5156</v>
      </c>
      <c r="C209" s="193">
        <v>2059</v>
      </c>
      <c r="D209" s="193">
        <v>0</v>
      </c>
      <c r="E209" s="193">
        <v>0</v>
      </c>
      <c r="F209" s="194">
        <v>0</v>
      </c>
      <c r="G209" s="193">
        <v>0</v>
      </c>
      <c r="H209" s="193">
        <v>60</v>
      </c>
      <c r="I209" s="193">
        <v>0</v>
      </c>
      <c r="J209" s="321" t="s">
        <v>4724</v>
      </c>
      <c r="K209" s="321" t="s">
        <v>4720</v>
      </c>
      <c r="L209" s="201"/>
      <c r="M209" s="201"/>
      <c r="N209" s="201"/>
      <c r="O209" s="201"/>
      <c r="P209" s="201"/>
      <c r="Q209" s="201"/>
      <c r="R209" s="201">
        <v>8182.6</v>
      </c>
      <c r="S209" s="201">
        <v>9000</v>
      </c>
      <c r="T209" s="201"/>
      <c r="U209" s="403"/>
    </row>
    <row r="210" spans="1:21" outlineLevel="2" x14ac:dyDescent="0.25">
      <c r="A210" s="193">
        <v>6171</v>
      </c>
      <c r="B210" s="193">
        <v>5163</v>
      </c>
      <c r="C210" s="193">
        <v>2059</v>
      </c>
      <c r="D210" s="193">
        <v>0</v>
      </c>
      <c r="E210" s="193">
        <v>0</v>
      </c>
      <c r="F210" s="194">
        <v>0</v>
      </c>
      <c r="G210" s="193">
        <v>0</v>
      </c>
      <c r="H210" s="193">
        <v>60</v>
      </c>
      <c r="I210" s="193">
        <v>0</v>
      </c>
      <c r="J210" s="321" t="str">
        <f>CONCATENATE(A210,"/",B210,"/",C210,"/",D210,"/",E210,"/",F210,"/",G210,"/",H210,"/",I210)</f>
        <v>6171/5163/2059/0/0/0/0/60/0</v>
      </c>
      <c r="K210" s="321" t="s">
        <v>232</v>
      </c>
      <c r="L210" s="201">
        <v>19697</v>
      </c>
      <c r="M210" s="201">
        <v>101692</v>
      </c>
      <c r="N210" s="201">
        <v>71246</v>
      </c>
      <c r="O210" s="201">
        <v>69819</v>
      </c>
      <c r="P210" s="201">
        <v>68318</v>
      </c>
      <c r="Q210" s="201">
        <v>100000</v>
      </c>
      <c r="R210" s="201">
        <v>100000</v>
      </c>
      <c r="S210" s="201">
        <v>100000</v>
      </c>
      <c r="T210" s="201"/>
      <c r="U210" s="403"/>
    </row>
    <row r="211" spans="1:21" outlineLevel="2" x14ac:dyDescent="0.25">
      <c r="A211" s="193">
        <v>6171</v>
      </c>
      <c r="B211" s="193">
        <v>5166</v>
      </c>
      <c r="C211" s="193">
        <v>2059</v>
      </c>
      <c r="D211" s="193">
        <v>0</v>
      </c>
      <c r="E211" s="193">
        <v>0</v>
      </c>
      <c r="F211" s="194">
        <v>0</v>
      </c>
      <c r="G211" s="193">
        <v>0</v>
      </c>
      <c r="H211" s="193">
        <v>60</v>
      </c>
      <c r="I211" s="193">
        <v>0</v>
      </c>
      <c r="J211" s="321" t="s">
        <v>4725</v>
      </c>
      <c r="K211" s="321" t="s">
        <v>4722</v>
      </c>
      <c r="L211" s="201"/>
      <c r="M211" s="201"/>
      <c r="N211" s="201"/>
      <c r="O211" s="201"/>
      <c r="P211" s="201"/>
      <c r="Q211" s="201"/>
      <c r="R211" s="201">
        <v>5267</v>
      </c>
      <c r="S211" s="201">
        <v>6000</v>
      </c>
      <c r="T211" s="201"/>
      <c r="U211" s="403"/>
    </row>
    <row r="212" spans="1:21" outlineLevel="2" x14ac:dyDescent="0.25">
      <c r="A212" s="193">
        <v>6171</v>
      </c>
      <c r="B212" s="193">
        <v>5162</v>
      </c>
      <c r="C212" s="193">
        <v>2059</v>
      </c>
      <c r="D212" s="193">
        <v>0</v>
      </c>
      <c r="E212" s="193">
        <v>0</v>
      </c>
      <c r="F212" s="194">
        <v>0</v>
      </c>
      <c r="G212" s="193">
        <v>0</v>
      </c>
      <c r="H212" s="193">
        <v>60</v>
      </c>
      <c r="I212" s="193">
        <v>0</v>
      </c>
      <c r="J212" s="321" t="str">
        <f t="shared" ref="J212:J238" si="17">CONCATENATE(A212,"/",B212,"/",C212,"/",D212,"/",E212,"/",F212,"/",G212,"/",H212,"/",I212)</f>
        <v>6171/5162/2059/0/0/0/0/60/0</v>
      </c>
      <c r="K212" s="321" t="s">
        <v>233</v>
      </c>
      <c r="L212" s="201">
        <v>10004.219999999999</v>
      </c>
      <c r="M212" s="201">
        <v>10004.200000000001</v>
      </c>
      <c r="N212" s="201">
        <v>7014.2</v>
      </c>
      <c r="O212" s="201">
        <v>6115.2</v>
      </c>
      <c r="P212" s="201">
        <v>5704.2</v>
      </c>
      <c r="Q212" s="201">
        <v>8000</v>
      </c>
      <c r="R212" s="201">
        <v>39601.370000000003</v>
      </c>
      <c r="S212" s="201">
        <v>40000</v>
      </c>
      <c r="T212" s="201"/>
      <c r="U212" s="403"/>
    </row>
    <row r="213" spans="1:21" outlineLevel="2" x14ac:dyDescent="0.25">
      <c r="A213" s="193">
        <v>6171</v>
      </c>
      <c r="B213" s="193">
        <v>5136</v>
      </c>
      <c r="C213" s="193">
        <v>2059</v>
      </c>
      <c r="D213" s="193">
        <v>0</v>
      </c>
      <c r="E213" s="193">
        <v>0</v>
      </c>
      <c r="F213" s="194">
        <v>0</v>
      </c>
      <c r="G213" s="193">
        <v>0</v>
      </c>
      <c r="H213" s="193">
        <v>0</v>
      </c>
      <c r="I213" s="193">
        <v>0</v>
      </c>
      <c r="J213" s="321" t="str">
        <f t="shared" si="17"/>
        <v>6171/5136/2059/0/0/0/0/0/0</v>
      </c>
      <c r="K213" s="321" t="s">
        <v>234</v>
      </c>
      <c r="L213" s="201">
        <v>84389</v>
      </c>
      <c r="M213" s="201">
        <v>81073.11</v>
      </c>
      <c r="N213" s="201">
        <v>81685.899999999994</v>
      </c>
      <c r="O213" s="201">
        <v>55768.9</v>
      </c>
      <c r="P213" s="201">
        <v>54280</v>
      </c>
      <c r="Q213" s="201">
        <v>35000</v>
      </c>
      <c r="R213" s="201">
        <v>35000</v>
      </c>
      <c r="S213" s="201">
        <v>35000</v>
      </c>
      <c r="T213" s="201"/>
      <c r="U213" s="403"/>
    </row>
    <row r="214" spans="1:21" outlineLevel="2" x14ac:dyDescent="0.25">
      <c r="A214" s="193">
        <v>6171</v>
      </c>
      <c r="B214" s="193">
        <v>5133</v>
      </c>
      <c r="C214" s="193">
        <v>2059</v>
      </c>
      <c r="D214" s="193">
        <v>0</v>
      </c>
      <c r="E214" s="193">
        <v>0</v>
      </c>
      <c r="F214" s="194">
        <v>0</v>
      </c>
      <c r="G214" s="193">
        <v>0</v>
      </c>
      <c r="H214" s="193">
        <v>0</v>
      </c>
      <c r="I214" s="193">
        <v>0</v>
      </c>
      <c r="J214" s="321" t="str">
        <f t="shared" si="17"/>
        <v>6171/5133/2059/0/0/0/0/0/0</v>
      </c>
      <c r="K214" s="321" t="s">
        <v>235</v>
      </c>
      <c r="L214" s="201">
        <v>504</v>
      </c>
      <c r="M214" s="201">
        <v>189</v>
      </c>
      <c r="N214" s="201">
        <v>1879.9</v>
      </c>
      <c r="O214" s="201">
        <v>11032.76</v>
      </c>
      <c r="P214" s="201">
        <v>150</v>
      </c>
      <c r="Q214" s="201">
        <v>1000</v>
      </c>
      <c r="R214" s="201">
        <v>1000</v>
      </c>
      <c r="S214" s="201">
        <v>1000</v>
      </c>
      <c r="T214" s="201"/>
      <c r="U214" s="403"/>
    </row>
    <row r="215" spans="1:21" outlineLevel="2" x14ac:dyDescent="0.25">
      <c r="A215" s="193">
        <v>6171</v>
      </c>
      <c r="B215" s="193">
        <v>5192</v>
      </c>
      <c r="C215" s="193">
        <v>2059</v>
      </c>
      <c r="D215" s="193">
        <v>0</v>
      </c>
      <c r="E215" s="193">
        <v>0</v>
      </c>
      <c r="F215" s="194">
        <v>0</v>
      </c>
      <c r="G215" s="193">
        <v>0</v>
      </c>
      <c r="H215" s="193">
        <v>0</v>
      </c>
      <c r="I215" s="193">
        <v>0</v>
      </c>
      <c r="J215" s="321" t="str">
        <f t="shared" si="17"/>
        <v>6171/5192/2059/0/0/0/0/0/0</v>
      </c>
      <c r="K215" s="321" t="s">
        <v>237</v>
      </c>
      <c r="L215" s="201">
        <v>24535.07</v>
      </c>
      <c r="M215" s="201">
        <v>30224</v>
      </c>
      <c r="N215" s="201">
        <v>62256</v>
      </c>
      <c r="O215" s="201">
        <v>10726</v>
      </c>
      <c r="P215" s="201">
        <v>33129.199999999997</v>
      </c>
      <c r="Q215" s="201">
        <v>50000</v>
      </c>
      <c r="R215" s="201">
        <v>49706.080000000002</v>
      </c>
      <c r="S215" s="201">
        <v>50000</v>
      </c>
      <c r="T215" s="201"/>
      <c r="U215" s="403"/>
    </row>
    <row r="216" spans="1:21" outlineLevel="2" x14ac:dyDescent="0.25">
      <c r="A216" s="193">
        <v>6171</v>
      </c>
      <c r="B216" s="193">
        <v>5164</v>
      </c>
      <c r="C216" s="193">
        <v>2059</v>
      </c>
      <c r="D216" s="193">
        <v>0</v>
      </c>
      <c r="E216" s="193">
        <v>0</v>
      </c>
      <c r="F216" s="194">
        <v>0</v>
      </c>
      <c r="G216" s="193">
        <v>0</v>
      </c>
      <c r="H216" s="193">
        <v>0</v>
      </c>
      <c r="I216" s="193">
        <v>0</v>
      </c>
      <c r="J216" s="321" t="str">
        <f t="shared" si="17"/>
        <v>6171/5164/2059/0/0/0/0/0/0</v>
      </c>
      <c r="K216" s="321" t="s">
        <v>238</v>
      </c>
      <c r="L216" s="201">
        <v>17275.28</v>
      </c>
      <c r="M216" s="201">
        <v>28227.16</v>
      </c>
      <c r="N216" s="201">
        <v>18772.39</v>
      </c>
      <c r="O216" s="201">
        <v>5648.21</v>
      </c>
      <c r="P216" s="201">
        <v>13009.12</v>
      </c>
      <c r="Q216" s="201">
        <v>30010</v>
      </c>
      <c r="R216" s="201">
        <v>30010</v>
      </c>
      <c r="S216" s="201">
        <v>30100</v>
      </c>
      <c r="T216" s="201"/>
      <c r="U216" s="403"/>
    </row>
    <row r="217" spans="1:21" outlineLevel="2" x14ac:dyDescent="0.25">
      <c r="A217" s="193">
        <v>6171</v>
      </c>
      <c r="B217" s="193">
        <v>5139</v>
      </c>
      <c r="C217" s="193">
        <v>2059</v>
      </c>
      <c r="D217" s="193">
        <v>0</v>
      </c>
      <c r="E217" s="193">
        <v>0</v>
      </c>
      <c r="F217" s="194">
        <v>0</v>
      </c>
      <c r="G217" s="193">
        <v>0</v>
      </c>
      <c r="H217" s="193">
        <v>0</v>
      </c>
      <c r="I217" s="193">
        <v>0</v>
      </c>
      <c r="J217" s="321" t="str">
        <f t="shared" si="17"/>
        <v>6171/5139/2059/0/0/0/0/0/0</v>
      </c>
      <c r="K217" s="321" t="s">
        <v>239</v>
      </c>
      <c r="L217" s="201">
        <v>888649.84</v>
      </c>
      <c r="M217" s="201">
        <v>1086632.02</v>
      </c>
      <c r="N217" s="201">
        <v>841038.17</v>
      </c>
      <c r="O217" s="201">
        <v>974720.94</v>
      </c>
      <c r="P217" s="201">
        <v>988627.67999999993</v>
      </c>
      <c r="Q217" s="201">
        <f>779575+300000</f>
        <v>1079575</v>
      </c>
      <c r="R217" s="201">
        <v>1059550</v>
      </c>
      <c r="S217" s="201">
        <v>1080000</v>
      </c>
      <c r="T217" s="201"/>
      <c r="U217" s="403"/>
    </row>
    <row r="218" spans="1:21" outlineLevel="2" x14ac:dyDescent="0.25">
      <c r="A218" s="193">
        <v>6171</v>
      </c>
      <c r="B218" s="193">
        <v>5139</v>
      </c>
      <c r="C218" s="193">
        <v>2059</v>
      </c>
      <c r="D218" s="193">
        <v>30012</v>
      </c>
      <c r="E218" s="193">
        <v>0</v>
      </c>
      <c r="F218" s="194">
        <v>0</v>
      </c>
      <c r="G218" s="193">
        <v>0</v>
      </c>
      <c r="H218" s="193">
        <v>0</v>
      </c>
      <c r="I218" s="193">
        <v>0</v>
      </c>
      <c r="J218" s="321" t="str">
        <f t="shared" si="17"/>
        <v>6171/5139/2059/30012/0/0/0/0/0</v>
      </c>
      <c r="K218" s="321" t="s">
        <v>4371</v>
      </c>
      <c r="L218" s="201"/>
      <c r="M218" s="201"/>
      <c r="N218" s="201"/>
      <c r="O218" s="201"/>
      <c r="P218" s="201">
        <v>20425</v>
      </c>
      <c r="Q218" s="201">
        <v>20000</v>
      </c>
      <c r="R218" s="201">
        <v>20000</v>
      </c>
      <c r="S218" s="201">
        <v>20000</v>
      </c>
      <c r="T218" s="201"/>
      <c r="U218" s="403"/>
    </row>
    <row r="219" spans="1:21" outlineLevel="2" x14ac:dyDescent="0.25">
      <c r="A219" s="193">
        <v>6171</v>
      </c>
      <c r="B219" s="193">
        <v>5169</v>
      </c>
      <c r="C219" s="193">
        <v>2059</v>
      </c>
      <c r="D219" s="193">
        <v>0</v>
      </c>
      <c r="E219" s="193">
        <v>0</v>
      </c>
      <c r="F219" s="194">
        <v>0</v>
      </c>
      <c r="G219" s="193">
        <v>0</v>
      </c>
      <c r="H219" s="193">
        <v>0</v>
      </c>
      <c r="I219" s="193">
        <v>0</v>
      </c>
      <c r="J219" s="321" t="str">
        <f t="shared" si="17"/>
        <v>6171/5169/2059/0/0/0/0/0/0</v>
      </c>
      <c r="K219" s="321" t="s">
        <v>240</v>
      </c>
      <c r="L219" s="201">
        <f>1002102.49+2250</f>
        <v>1004352.49</v>
      </c>
      <c r="M219" s="201">
        <f>1979274.38+690</f>
        <v>1979964.38</v>
      </c>
      <c r="N219" s="201">
        <v>1736301.49</v>
      </c>
      <c r="O219" s="201">
        <v>1660649.83</v>
      </c>
      <c r="P219" s="201">
        <v>2183744.4</v>
      </c>
      <c r="Q219" s="201">
        <f>1527075+854000</f>
        <v>2381075</v>
      </c>
      <c r="R219" s="201">
        <v>2441368.92</v>
      </c>
      <c r="S219" s="201">
        <v>3400000</v>
      </c>
      <c r="T219" s="201"/>
      <c r="U219" s="403" t="s">
        <v>4894</v>
      </c>
    </row>
    <row r="220" spans="1:21" outlineLevel="2" x14ac:dyDescent="0.25">
      <c r="A220" s="193">
        <v>6171</v>
      </c>
      <c r="B220" s="193">
        <v>5175</v>
      </c>
      <c r="C220" s="193">
        <v>2059</v>
      </c>
      <c r="D220" s="193">
        <v>0</v>
      </c>
      <c r="E220" s="193">
        <v>0</v>
      </c>
      <c r="F220" s="194">
        <v>0</v>
      </c>
      <c r="G220" s="193">
        <v>0</v>
      </c>
      <c r="H220" s="193">
        <v>0</v>
      </c>
      <c r="I220" s="193">
        <v>0</v>
      </c>
      <c r="J220" s="321" t="str">
        <f t="shared" si="17"/>
        <v>6171/5175/2059/0/0/0/0/0/0</v>
      </c>
      <c r="K220" s="321" t="s">
        <v>4384</v>
      </c>
      <c r="L220" s="201"/>
      <c r="M220" s="201"/>
      <c r="N220" s="201"/>
      <c r="O220" s="201"/>
      <c r="P220" s="201">
        <v>28207.96</v>
      </c>
      <c r="Q220" s="201">
        <v>27288</v>
      </c>
      <c r="R220" s="201">
        <v>27288</v>
      </c>
      <c r="S220" s="201">
        <v>30000</v>
      </c>
      <c r="T220" s="201"/>
      <c r="U220" s="403"/>
    </row>
    <row r="221" spans="1:21" outlineLevel="2" x14ac:dyDescent="0.25">
      <c r="A221" s="187">
        <v>6171</v>
      </c>
      <c r="B221" s="187">
        <v>5901</v>
      </c>
      <c r="C221" s="187">
        <v>2059</v>
      </c>
      <c r="D221" s="187">
        <v>0</v>
      </c>
      <c r="E221" s="187">
        <v>0</v>
      </c>
      <c r="F221" s="187">
        <v>0</v>
      </c>
      <c r="G221" s="187">
        <v>0</v>
      </c>
      <c r="H221" s="187">
        <v>0</v>
      </c>
      <c r="I221" s="187">
        <v>0</v>
      </c>
      <c r="J221" s="327" t="str">
        <f t="shared" si="17"/>
        <v>6171/5901/2059/0/0/0/0/0/0</v>
      </c>
      <c r="K221" s="327" t="s">
        <v>4476</v>
      </c>
      <c r="L221" s="200"/>
      <c r="M221" s="200"/>
      <c r="N221" s="200"/>
      <c r="O221" s="200"/>
      <c r="P221" s="200"/>
      <c r="Q221" s="200">
        <v>2375600</v>
      </c>
      <c r="R221" s="200">
        <v>930053.31</v>
      </c>
      <c r="S221" s="200">
        <v>0</v>
      </c>
      <c r="T221" s="200"/>
      <c r="U221" s="403"/>
    </row>
    <row r="222" spans="1:21" outlineLevel="2" x14ac:dyDescent="0.25">
      <c r="A222" s="193">
        <v>6171</v>
      </c>
      <c r="B222" s="193">
        <v>5132</v>
      </c>
      <c r="C222" s="193">
        <v>2059</v>
      </c>
      <c r="D222" s="193">
        <v>0</v>
      </c>
      <c r="E222" s="193">
        <v>0</v>
      </c>
      <c r="F222" s="194">
        <v>0</v>
      </c>
      <c r="G222" s="193">
        <v>0</v>
      </c>
      <c r="H222" s="193">
        <v>0</v>
      </c>
      <c r="I222" s="193">
        <v>0</v>
      </c>
      <c r="J222" s="321" t="str">
        <f t="shared" si="17"/>
        <v>6171/5132/2059/0/0/0/0/0/0</v>
      </c>
      <c r="K222" s="321" t="s">
        <v>874</v>
      </c>
      <c r="L222" s="201"/>
      <c r="M222" s="201"/>
      <c r="N222" s="201"/>
      <c r="O222" s="201"/>
      <c r="P222" s="201">
        <v>179107</v>
      </c>
      <c r="Q222" s="201">
        <v>260164</v>
      </c>
      <c r="R222" s="201">
        <v>260164</v>
      </c>
      <c r="S222" s="201">
        <v>270000</v>
      </c>
      <c r="T222" s="201"/>
      <c r="U222" s="403"/>
    </row>
    <row r="223" spans="1:21" outlineLevel="2" x14ac:dyDescent="0.25">
      <c r="A223" s="193">
        <v>6171</v>
      </c>
      <c r="B223" s="193">
        <v>5171</v>
      </c>
      <c r="C223" s="193">
        <v>2059</v>
      </c>
      <c r="D223" s="193">
        <v>0</v>
      </c>
      <c r="E223" s="193">
        <v>0</v>
      </c>
      <c r="F223" s="194">
        <v>0</v>
      </c>
      <c r="G223" s="193">
        <v>0</v>
      </c>
      <c r="H223" s="193">
        <v>0</v>
      </c>
      <c r="I223" s="193">
        <v>0</v>
      </c>
      <c r="J223" s="321" t="str">
        <f t="shared" si="17"/>
        <v>6171/5171/2059/0/0/0/0/0/0</v>
      </c>
      <c r="K223" s="321" t="s">
        <v>241</v>
      </c>
      <c r="L223" s="201">
        <v>512560.6</v>
      </c>
      <c r="M223" s="201">
        <v>461557.93</v>
      </c>
      <c r="N223" s="201">
        <v>308340.64</v>
      </c>
      <c r="O223" s="201">
        <v>222298.61</v>
      </c>
      <c r="P223" s="201">
        <v>556501.4</v>
      </c>
      <c r="Q223" s="201">
        <v>600000</v>
      </c>
      <c r="R223" s="201">
        <v>595000</v>
      </c>
      <c r="S223" s="201">
        <v>992900</v>
      </c>
      <c r="T223" s="201"/>
      <c r="U223" s="403"/>
    </row>
    <row r="224" spans="1:21" outlineLevel="2" x14ac:dyDescent="0.25">
      <c r="A224" s="193">
        <v>6171</v>
      </c>
      <c r="B224" s="193">
        <v>5163</v>
      </c>
      <c r="C224" s="193">
        <v>2059</v>
      </c>
      <c r="D224" s="193">
        <v>0</v>
      </c>
      <c r="E224" s="193">
        <v>0</v>
      </c>
      <c r="F224" s="194">
        <v>0</v>
      </c>
      <c r="G224" s="193">
        <v>0</v>
      </c>
      <c r="H224" s="193">
        <v>0</v>
      </c>
      <c r="I224" s="193">
        <v>0</v>
      </c>
      <c r="J224" s="321" t="str">
        <f t="shared" si="17"/>
        <v>6171/5163/2059/0/0/0/0/0/0</v>
      </c>
      <c r="K224" s="321" t="s">
        <v>243</v>
      </c>
      <c r="L224" s="201">
        <v>137373</v>
      </c>
      <c r="M224" s="201">
        <v>97488</v>
      </c>
      <c r="N224" s="201">
        <v>123831</v>
      </c>
      <c r="O224" s="201">
        <v>130651</v>
      </c>
      <c r="P224" s="201">
        <v>127906</v>
      </c>
      <c r="Q224" s="201">
        <v>150000</v>
      </c>
      <c r="R224" s="201">
        <v>150000</v>
      </c>
      <c r="S224" s="201">
        <v>150000</v>
      </c>
      <c r="T224" s="201"/>
      <c r="U224" s="403"/>
    </row>
    <row r="225" spans="1:22" s="60" customFormat="1" outlineLevel="2" x14ac:dyDescent="0.25">
      <c r="A225" s="193">
        <v>6171</v>
      </c>
      <c r="B225" s="193">
        <v>5362</v>
      </c>
      <c r="C225" s="193">
        <v>2059</v>
      </c>
      <c r="D225" s="193">
        <v>0</v>
      </c>
      <c r="E225" s="193">
        <v>0</v>
      </c>
      <c r="F225" s="194">
        <v>0</v>
      </c>
      <c r="G225" s="193">
        <v>0</v>
      </c>
      <c r="H225" s="193">
        <v>0</v>
      </c>
      <c r="I225" s="193">
        <v>0</v>
      </c>
      <c r="J225" s="321" t="str">
        <f t="shared" si="17"/>
        <v>6171/5362/2059/0/0/0/0/0/0</v>
      </c>
      <c r="K225" s="321" t="s">
        <v>244</v>
      </c>
      <c r="L225" s="201">
        <v>11973</v>
      </c>
      <c r="M225" s="201">
        <v>18200</v>
      </c>
      <c r="N225" s="201">
        <v>7600</v>
      </c>
      <c r="O225" s="201">
        <v>12500</v>
      </c>
      <c r="P225" s="201">
        <v>14100</v>
      </c>
      <c r="Q225" s="201">
        <v>20000</v>
      </c>
      <c r="R225" s="201">
        <v>18955</v>
      </c>
      <c r="S225" s="201">
        <v>20000</v>
      </c>
      <c r="T225" s="201"/>
      <c r="U225" s="403"/>
      <c r="V225" s="111"/>
    </row>
    <row r="226" spans="1:22" s="60" customFormat="1" outlineLevel="2" x14ac:dyDescent="0.25">
      <c r="A226" s="193">
        <v>6171</v>
      </c>
      <c r="B226" s="193">
        <v>5156</v>
      </c>
      <c r="C226" s="193">
        <v>2059</v>
      </c>
      <c r="D226" s="193">
        <v>0</v>
      </c>
      <c r="E226" s="193">
        <v>0</v>
      </c>
      <c r="F226" s="194">
        <v>0</v>
      </c>
      <c r="G226" s="193">
        <v>0</v>
      </c>
      <c r="H226" s="193">
        <v>0</v>
      </c>
      <c r="I226" s="193">
        <v>0</v>
      </c>
      <c r="J226" s="321" t="str">
        <f t="shared" si="17"/>
        <v>6171/5156/2059/0/0/0/0/0/0</v>
      </c>
      <c r="K226" s="321" t="s">
        <v>245</v>
      </c>
      <c r="L226" s="201">
        <v>221114.67</v>
      </c>
      <c r="M226" s="201">
        <v>218080.99</v>
      </c>
      <c r="N226" s="201">
        <v>150531.69</v>
      </c>
      <c r="O226" s="201">
        <v>163395.47</v>
      </c>
      <c r="P226" s="201">
        <v>276244.69999999995</v>
      </c>
      <c r="Q226" s="201">
        <v>500000</v>
      </c>
      <c r="R226" s="201">
        <v>491817.4</v>
      </c>
      <c r="S226" s="201">
        <v>500000</v>
      </c>
      <c r="T226" s="201"/>
      <c r="U226" s="403"/>
      <c r="V226" s="111"/>
    </row>
    <row r="227" spans="1:22" s="60" customFormat="1" outlineLevel="2" x14ac:dyDescent="0.25">
      <c r="A227" s="193">
        <v>3632</v>
      </c>
      <c r="B227" s="193">
        <v>5811</v>
      </c>
      <c r="C227" s="193">
        <v>2059</v>
      </c>
      <c r="D227" s="193">
        <v>0</v>
      </c>
      <c r="E227" s="193">
        <v>0</v>
      </c>
      <c r="F227" s="194">
        <v>0</v>
      </c>
      <c r="G227" s="193">
        <v>0</v>
      </c>
      <c r="H227" s="193">
        <v>0</v>
      </c>
      <c r="I227" s="193">
        <v>0</v>
      </c>
      <c r="J227" s="321" t="str">
        <f t="shared" si="17"/>
        <v>3632/5811/2059/0/0/0/0/0/0</v>
      </c>
      <c r="K227" s="321" t="s">
        <v>247</v>
      </c>
      <c r="L227" s="201">
        <v>80888</v>
      </c>
      <c r="M227" s="201">
        <v>79761</v>
      </c>
      <c r="N227" s="201">
        <v>64944</v>
      </c>
      <c r="O227" s="201">
        <v>63538</v>
      </c>
      <c r="P227" s="201">
        <v>105315.58</v>
      </c>
      <c r="Q227" s="201">
        <v>70000</v>
      </c>
      <c r="R227" s="201">
        <v>70000</v>
      </c>
      <c r="S227" s="201">
        <v>70000</v>
      </c>
      <c r="T227" s="201"/>
      <c r="U227" s="403"/>
      <c r="V227" s="111"/>
    </row>
    <row r="228" spans="1:22" outlineLevel="2" x14ac:dyDescent="0.25">
      <c r="A228" s="193">
        <v>6171</v>
      </c>
      <c r="B228" s="193">
        <v>5134</v>
      </c>
      <c r="C228" s="193">
        <v>2059</v>
      </c>
      <c r="D228" s="193">
        <v>0</v>
      </c>
      <c r="E228" s="193">
        <v>0</v>
      </c>
      <c r="F228" s="194">
        <v>0</v>
      </c>
      <c r="G228" s="193">
        <v>0</v>
      </c>
      <c r="H228" s="193">
        <v>0</v>
      </c>
      <c r="I228" s="193">
        <v>0</v>
      </c>
      <c r="J228" s="321" t="str">
        <f t="shared" si="17"/>
        <v>6171/5134/2059/0/0/0/0/0/0</v>
      </c>
      <c r="K228" s="321" t="s">
        <v>248</v>
      </c>
      <c r="L228" s="201">
        <v>36123</v>
      </c>
      <c r="M228" s="201">
        <v>34568</v>
      </c>
      <c r="N228" s="201">
        <v>72586.36</v>
      </c>
      <c r="O228" s="201">
        <v>30125</v>
      </c>
      <c r="P228" s="201"/>
      <c r="Q228" s="201">
        <v>0</v>
      </c>
      <c r="R228" s="201"/>
      <c r="S228" s="201"/>
      <c r="T228" s="201"/>
      <c r="U228" s="403"/>
    </row>
    <row r="229" spans="1:22" s="59" customFormat="1" outlineLevel="2" x14ac:dyDescent="0.25">
      <c r="A229" s="193">
        <v>6171</v>
      </c>
      <c r="B229" s="193">
        <v>5166</v>
      </c>
      <c r="C229" s="193">
        <v>2059</v>
      </c>
      <c r="D229" s="193">
        <v>0</v>
      </c>
      <c r="E229" s="193">
        <v>0</v>
      </c>
      <c r="F229" s="194">
        <v>0</v>
      </c>
      <c r="G229" s="193">
        <v>0</v>
      </c>
      <c r="H229" s="193">
        <v>0</v>
      </c>
      <c r="I229" s="193">
        <v>0</v>
      </c>
      <c r="J229" s="321" t="str">
        <f t="shared" si="17"/>
        <v>6171/5166/2059/0/0/0/0/0/0</v>
      </c>
      <c r="K229" s="321" t="s">
        <v>4360</v>
      </c>
      <c r="L229" s="201">
        <v>1057926.1599999999</v>
      </c>
      <c r="M229" s="201">
        <v>703041.16</v>
      </c>
      <c r="N229" s="201">
        <v>516848.85</v>
      </c>
      <c r="O229" s="201">
        <v>331330.48</v>
      </c>
      <c r="P229" s="201">
        <v>129110.96</v>
      </c>
      <c r="Q229" s="201">
        <f>200000+100000</f>
        <v>300000</v>
      </c>
      <c r="R229" s="201">
        <v>295778</v>
      </c>
      <c r="S229" s="201">
        <v>350000</v>
      </c>
      <c r="T229" s="201"/>
      <c r="U229" s="403"/>
      <c r="V229" s="351"/>
    </row>
    <row r="230" spans="1:22" s="64" customFormat="1" outlineLevel="2" x14ac:dyDescent="0.25">
      <c r="A230" s="187">
        <v>6171</v>
      </c>
      <c r="B230" s="187">
        <v>5166</v>
      </c>
      <c r="C230" s="187">
        <v>2059</v>
      </c>
      <c r="D230" s="187">
        <v>60209</v>
      </c>
      <c r="E230" s="187">
        <v>0</v>
      </c>
      <c r="F230" s="187">
        <v>0</v>
      </c>
      <c r="G230" s="187">
        <v>0</v>
      </c>
      <c r="H230" s="187">
        <v>0</v>
      </c>
      <c r="I230" s="187">
        <v>0</v>
      </c>
      <c r="J230" s="327" t="str">
        <f t="shared" si="17"/>
        <v>6171/5166/2059/60209/0/0/0/0/0</v>
      </c>
      <c r="K230" s="327" t="s">
        <v>3762</v>
      </c>
      <c r="L230" s="200"/>
      <c r="M230" s="200"/>
      <c r="N230" s="200"/>
      <c r="O230" s="200">
        <v>464035</v>
      </c>
      <c r="P230" s="200">
        <v>468270</v>
      </c>
      <c r="Q230" s="200">
        <v>800000</v>
      </c>
      <c r="R230" s="200">
        <v>800000</v>
      </c>
      <c r="S230" s="200">
        <v>800000</v>
      </c>
      <c r="T230" s="200"/>
      <c r="U230" s="403"/>
      <c r="V230" s="356"/>
    </row>
    <row r="231" spans="1:22" s="59" customFormat="1" outlineLevel="2" x14ac:dyDescent="0.25">
      <c r="A231" s="193">
        <v>6171</v>
      </c>
      <c r="B231" s="193">
        <v>5161</v>
      </c>
      <c r="C231" s="193">
        <v>2059</v>
      </c>
      <c r="D231" s="193">
        <v>30012</v>
      </c>
      <c r="E231" s="193">
        <v>0</v>
      </c>
      <c r="F231" s="194">
        <v>0</v>
      </c>
      <c r="G231" s="193">
        <v>0</v>
      </c>
      <c r="H231" s="193">
        <v>0</v>
      </c>
      <c r="I231" s="193">
        <v>0</v>
      </c>
      <c r="J231" s="321" t="str">
        <f t="shared" si="17"/>
        <v>6171/5161/2059/30012/0/0/0/0/0</v>
      </c>
      <c r="K231" s="321" t="s">
        <v>3731</v>
      </c>
      <c r="L231" s="201"/>
      <c r="M231" s="201">
        <v>214686.45</v>
      </c>
      <c r="N231" s="201">
        <v>848373.31</v>
      </c>
      <c r="O231" s="201">
        <v>1234098.18</v>
      </c>
      <c r="P231" s="201">
        <v>1184763.73</v>
      </c>
      <c r="Q231" s="201">
        <v>2000000</v>
      </c>
      <c r="R231" s="201">
        <v>2000000</v>
      </c>
      <c r="S231" s="201">
        <v>2000000</v>
      </c>
      <c r="T231" s="201"/>
      <c r="U231" s="403"/>
      <c r="V231" s="351"/>
    </row>
    <row r="232" spans="1:22" s="59" customFormat="1" outlineLevel="2" x14ac:dyDescent="0.25">
      <c r="A232" s="193">
        <v>6171</v>
      </c>
      <c r="B232" s="193">
        <v>5168</v>
      </c>
      <c r="C232" s="193">
        <v>2059</v>
      </c>
      <c r="D232" s="193">
        <v>0</v>
      </c>
      <c r="E232" s="193">
        <v>0</v>
      </c>
      <c r="F232" s="194">
        <v>0</v>
      </c>
      <c r="G232" s="193">
        <v>0</v>
      </c>
      <c r="H232" s="193">
        <v>0</v>
      </c>
      <c r="I232" s="193">
        <v>0</v>
      </c>
      <c r="J232" s="321" t="str">
        <f t="shared" si="17"/>
        <v>6171/5168/2059/0/0/0/0/0/0</v>
      </c>
      <c r="K232" s="321" t="s">
        <v>4378</v>
      </c>
      <c r="L232" s="201"/>
      <c r="M232" s="201"/>
      <c r="N232" s="201"/>
      <c r="O232" s="201"/>
      <c r="P232" s="201">
        <v>9680.26</v>
      </c>
      <c r="Q232" s="201">
        <v>10000</v>
      </c>
      <c r="R232" s="201">
        <v>15000</v>
      </c>
      <c r="S232" s="201">
        <v>10000</v>
      </c>
      <c r="T232" s="201"/>
      <c r="U232" s="403"/>
      <c r="V232" s="351"/>
    </row>
    <row r="233" spans="1:22" s="59" customFormat="1" outlineLevel="2" x14ac:dyDescent="0.25">
      <c r="A233" s="193">
        <v>6171</v>
      </c>
      <c r="B233" s="193">
        <v>5161</v>
      </c>
      <c r="C233" s="193">
        <v>2059</v>
      </c>
      <c r="D233" s="193">
        <v>0</v>
      </c>
      <c r="E233" s="193">
        <v>0</v>
      </c>
      <c r="F233" s="194">
        <v>0</v>
      </c>
      <c r="G233" s="193">
        <v>0</v>
      </c>
      <c r="H233" s="193">
        <v>0</v>
      </c>
      <c r="I233" s="193">
        <v>0</v>
      </c>
      <c r="J233" s="321" t="str">
        <f t="shared" si="17"/>
        <v>6171/5161/2059/0/0/0/0/0/0</v>
      </c>
      <c r="K233" s="321" t="s">
        <v>250</v>
      </c>
      <c r="L233" s="201">
        <v>1406631.87</v>
      </c>
      <c r="M233" s="201">
        <v>1172264.6299999999</v>
      </c>
      <c r="N233" s="201">
        <v>1527817.6</v>
      </c>
      <c r="O233" s="201">
        <v>1512477.4</v>
      </c>
      <c r="P233" s="201">
        <v>1511426.2</v>
      </c>
      <c r="Q233" s="201">
        <f>1300000+400000</f>
        <v>1700000</v>
      </c>
      <c r="R233" s="201">
        <v>2500000</v>
      </c>
      <c r="S233" s="201">
        <v>2500000</v>
      </c>
      <c r="T233" s="201"/>
      <c r="U233" s="403"/>
      <c r="V233" s="351"/>
    </row>
    <row r="234" spans="1:22" s="59" customFormat="1" outlineLevel="2" x14ac:dyDescent="0.25">
      <c r="A234" s="193">
        <v>6171</v>
      </c>
      <c r="B234" s="193">
        <v>5162</v>
      </c>
      <c r="C234" s="193">
        <v>2059</v>
      </c>
      <c r="D234" s="193">
        <v>0</v>
      </c>
      <c r="E234" s="193">
        <v>0</v>
      </c>
      <c r="F234" s="194">
        <v>0</v>
      </c>
      <c r="G234" s="193">
        <v>0</v>
      </c>
      <c r="H234" s="193">
        <v>0</v>
      </c>
      <c r="I234" s="193">
        <v>0</v>
      </c>
      <c r="J234" s="321" t="str">
        <f t="shared" si="17"/>
        <v>6171/5162/2059/0/0/0/0/0/0</v>
      </c>
      <c r="K234" s="321" t="s">
        <v>251</v>
      </c>
      <c r="L234" s="201">
        <v>444750.13</v>
      </c>
      <c r="M234" s="201">
        <v>467198.7</v>
      </c>
      <c r="N234" s="201">
        <v>526594.55000000005</v>
      </c>
      <c r="O234" s="201">
        <v>566387.22</v>
      </c>
      <c r="P234" s="201">
        <v>642116.07999999996</v>
      </c>
      <c r="Q234" s="201">
        <v>600000</v>
      </c>
      <c r="R234" s="201">
        <v>568398.63</v>
      </c>
      <c r="S234" s="201">
        <v>600000</v>
      </c>
      <c r="T234" s="201"/>
      <c r="U234" s="403"/>
      <c r="V234" s="351"/>
    </row>
    <row r="235" spans="1:22" s="59" customFormat="1" outlineLevel="2" x14ac:dyDescent="0.25">
      <c r="A235" s="193">
        <v>3613</v>
      </c>
      <c r="B235" s="193">
        <v>5139</v>
      </c>
      <c r="C235" s="193">
        <v>2059</v>
      </c>
      <c r="D235" s="193">
        <v>13001</v>
      </c>
      <c r="E235" s="193">
        <v>0</v>
      </c>
      <c r="F235" s="194">
        <v>0</v>
      </c>
      <c r="G235" s="193">
        <v>0</v>
      </c>
      <c r="H235" s="193">
        <v>0</v>
      </c>
      <c r="I235" s="193">
        <v>0</v>
      </c>
      <c r="J235" s="321" t="str">
        <f t="shared" si="17"/>
        <v>3613/5139/2059/13001/0/0/0/0/0</v>
      </c>
      <c r="K235" s="321" t="s">
        <v>252</v>
      </c>
      <c r="L235" s="201">
        <v>31367.4</v>
      </c>
      <c r="M235" s="201">
        <v>15383.57</v>
      </c>
      <c r="N235" s="201">
        <v>3776.46</v>
      </c>
      <c r="O235" s="201">
        <v>6760.44</v>
      </c>
      <c r="P235" s="201">
        <v>2833.92</v>
      </c>
      <c r="Q235" s="201">
        <v>5000</v>
      </c>
      <c r="R235" s="201">
        <v>5000</v>
      </c>
      <c r="S235" s="201">
        <v>5000</v>
      </c>
      <c r="T235" s="201"/>
      <c r="U235" s="403"/>
      <c r="V235" s="351"/>
    </row>
    <row r="236" spans="1:22" s="59" customFormat="1" outlineLevel="2" x14ac:dyDescent="0.25">
      <c r="A236" s="193">
        <v>6171</v>
      </c>
      <c r="B236" s="193">
        <v>5167</v>
      </c>
      <c r="C236" s="193">
        <v>2059</v>
      </c>
      <c r="D236" s="193">
        <v>0</v>
      </c>
      <c r="E236" s="193">
        <v>0</v>
      </c>
      <c r="F236" s="194">
        <v>0</v>
      </c>
      <c r="G236" s="193">
        <v>0</v>
      </c>
      <c r="H236" s="193">
        <v>0</v>
      </c>
      <c r="I236" s="193">
        <v>0</v>
      </c>
      <c r="J236" s="321" t="str">
        <f t="shared" si="17"/>
        <v>6171/5167/2059/0/0/0/0/0/0</v>
      </c>
      <c r="K236" s="321" t="s">
        <v>255</v>
      </c>
      <c r="L236" s="201">
        <v>660414.97</v>
      </c>
      <c r="M236" s="201">
        <v>892290.4</v>
      </c>
      <c r="N236" s="201">
        <v>437113.1</v>
      </c>
      <c r="O236" s="201">
        <v>1026763.6</v>
      </c>
      <c r="P236" s="201">
        <v>909181.2</v>
      </c>
      <c r="Q236" s="201">
        <v>1400000</v>
      </c>
      <c r="R236" s="201">
        <v>1400000</v>
      </c>
      <c r="S236" s="201">
        <v>1400000</v>
      </c>
      <c r="T236" s="201"/>
      <c r="U236" s="403"/>
      <c r="V236" s="351"/>
    </row>
    <row r="237" spans="1:22" s="59" customFormat="1" outlineLevel="2" x14ac:dyDescent="0.25">
      <c r="A237" s="193">
        <v>6171</v>
      </c>
      <c r="B237" s="193">
        <v>5176</v>
      </c>
      <c r="C237" s="193">
        <v>2059</v>
      </c>
      <c r="D237" s="193">
        <v>0</v>
      </c>
      <c r="E237" s="193">
        <v>0</v>
      </c>
      <c r="F237" s="194">
        <v>0</v>
      </c>
      <c r="G237" s="193">
        <v>0</v>
      </c>
      <c r="H237" s="193">
        <v>0</v>
      </c>
      <c r="I237" s="193">
        <v>0</v>
      </c>
      <c r="J237" s="321" t="str">
        <f t="shared" si="17"/>
        <v>6171/5176/2059/0/0/0/0/0/0</v>
      </c>
      <c r="K237" s="321" t="s">
        <v>256</v>
      </c>
      <c r="L237" s="201">
        <v>3306</v>
      </c>
      <c r="M237" s="201">
        <v>16043</v>
      </c>
      <c r="N237" s="201">
        <v>3850</v>
      </c>
      <c r="O237" s="201">
        <v>7070.28</v>
      </c>
      <c r="P237" s="201">
        <v>4820</v>
      </c>
      <c r="Q237" s="201">
        <v>8000</v>
      </c>
      <c r="R237" s="201">
        <v>8000</v>
      </c>
      <c r="S237" s="201">
        <v>8000</v>
      </c>
      <c r="T237" s="201"/>
      <c r="U237" s="403"/>
      <c r="V237" s="351"/>
    </row>
    <row r="238" spans="1:22" s="59" customFormat="1" outlineLevel="2" x14ac:dyDescent="0.25">
      <c r="A238" s="193">
        <v>0</v>
      </c>
      <c r="B238" s="193">
        <v>5000</v>
      </c>
      <c r="C238" s="193">
        <v>2059</v>
      </c>
      <c r="D238" s="193">
        <v>0</v>
      </c>
      <c r="E238" s="193">
        <v>0</v>
      </c>
      <c r="F238" s="194">
        <v>0</v>
      </c>
      <c r="G238" s="193">
        <v>0</v>
      </c>
      <c r="H238" s="193">
        <v>0</v>
      </c>
      <c r="I238" s="193">
        <v>0</v>
      </c>
      <c r="J238" s="321" t="str">
        <f t="shared" si="17"/>
        <v>0/5000/2059/0/0/0/0/0/0</v>
      </c>
      <c r="K238" s="321" t="s">
        <v>4612</v>
      </c>
      <c r="L238" s="201">
        <f>2521554.17+91108.6+169400+7381+400</f>
        <v>2789843.77</v>
      </c>
      <c r="M238" s="201">
        <f>1169400.21+115039+2420+46483.33</f>
        <v>1333342.54</v>
      </c>
      <c r="N238" s="201">
        <f>957255.46+36300+528969+117017.92+3090</f>
        <v>1642632.38</v>
      </c>
      <c r="O238" s="201">
        <v>809576.53</v>
      </c>
      <c r="P238" s="201">
        <v>1427829.67</v>
      </c>
      <c r="Q238" s="201"/>
      <c r="R238" s="201">
        <v>1163244.5900000001</v>
      </c>
      <c r="S238" s="201"/>
      <c r="T238" s="201"/>
      <c r="U238" s="403"/>
      <c r="V238" s="351"/>
    </row>
    <row r="239" spans="1:22" s="59" customFormat="1" outlineLevel="1" x14ac:dyDescent="0.25">
      <c r="A239" s="491"/>
      <c r="B239" s="491"/>
      <c r="C239" s="499" t="s">
        <v>4665</v>
      </c>
      <c r="D239" s="491"/>
      <c r="E239" s="491"/>
      <c r="F239" s="492"/>
      <c r="G239" s="491"/>
      <c r="H239" s="491"/>
      <c r="I239" s="491"/>
      <c r="J239" s="493">
        <v>2059</v>
      </c>
      <c r="K239" s="493" t="str">
        <f>VLOOKUP(J239,orJ_správce_telefon_mail!A:B,2,0)</f>
        <v>Oddělení vnitřní správy - Bc. Helena Zavřelová</v>
      </c>
      <c r="L239" s="494">
        <f t="shared" ref="L239:T239" si="18">SUBTOTAL(9,L203:L238)</f>
        <v>10804968.42</v>
      </c>
      <c r="M239" s="494">
        <f t="shared" si="18"/>
        <v>10670220.219999999</v>
      </c>
      <c r="N239" s="494">
        <f t="shared" si="18"/>
        <v>10140505.419999998</v>
      </c>
      <c r="O239" s="494">
        <f t="shared" si="18"/>
        <v>10272325.259999998</v>
      </c>
      <c r="P239" s="494">
        <f t="shared" si="18"/>
        <v>12208340.119999999</v>
      </c>
      <c r="Q239" s="494">
        <f t="shared" si="18"/>
        <v>15759600</v>
      </c>
      <c r="R239" s="494">
        <f t="shared" si="18"/>
        <v>16627852.900000002</v>
      </c>
      <c r="S239" s="494">
        <f t="shared" si="18"/>
        <v>15800000</v>
      </c>
      <c r="T239" s="494">
        <f t="shared" si="18"/>
        <v>0</v>
      </c>
      <c r="U239" s="541"/>
      <c r="V239" s="351"/>
    </row>
    <row r="240" spans="1:22" s="59" customFormat="1" outlineLevel="2" x14ac:dyDescent="0.25">
      <c r="A240" s="256">
        <v>2169</v>
      </c>
      <c r="B240" s="256">
        <v>5909</v>
      </c>
      <c r="C240" s="256">
        <v>2070</v>
      </c>
      <c r="D240" s="256">
        <v>30053</v>
      </c>
      <c r="E240" s="256">
        <v>0</v>
      </c>
      <c r="F240" s="256">
        <v>0</v>
      </c>
      <c r="G240" s="256">
        <v>0</v>
      </c>
      <c r="H240" s="256">
        <v>0</v>
      </c>
      <c r="I240" s="256">
        <v>0</v>
      </c>
      <c r="J240" s="321" t="str">
        <f>CONCATENATE(A240,"/",B240,"/",C240,"/",D240,"/",E240,"/",F240,"/",G240,"/",H240,"/",I240)</f>
        <v>2169/5909/2070/30053/0/0/0/0/0</v>
      </c>
      <c r="K240" s="450" t="s">
        <v>4699</v>
      </c>
      <c r="L240" s="201"/>
      <c r="M240" s="201"/>
      <c r="N240" s="201"/>
      <c r="O240" s="201"/>
      <c r="P240" s="201"/>
      <c r="Q240" s="201"/>
      <c r="R240" s="201">
        <v>240</v>
      </c>
      <c r="S240" s="201"/>
      <c r="T240" s="201"/>
      <c r="U240" s="403"/>
      <c r="V240" s="351"/>
    </row>
    <row r="241" spans="1:22" s="59" customFormat="1" outlineLevel="1" x14ac:dyDescent="0.25">
      <c r="A241" s="502"/>
      <c r="B241" s="502"/>
      <c r="C241" s="503" t="s">
        <v>4666</v>
      </c>
      <c r="D241" s="502"/>
      <c r="E241" s="502"/>
      <c r="F241" s="502"/>
      <c r="G241" s="502"/>
      <c r="H241" s="502"/>
      <c r="I241" s="502"/>
      <c r="J241" s="493">
        <v>2070</v>
      </c>
      <c r="K241" s="493" t="str">
        <f>VLOOKUP(J241,orJ_správce_telefon_mail!A:B,2,0)</f>
        <v xml:space="preserve">Odbor obecní živnostenský úřad - Ing. Kotlář </v>
      </c>
      <c r="L241" s="494">
        <f t="shared" ref="L241:T241" si="19">SUBTOTAL(9,L240:L240)</f>
        <v>0</v>
      </c>
      <c r="M241" s="494">
        <f t="shared" si="19"/>
        <v>0</v>
      </c>
      <c r="N241" s="494">
        <f t="shared" si="19"/>
        <v>0</v>
      </c>
      <c r="O241" s="494">
        <f t="shared" si="19"/>
        <v>0</v>
      </c>
      <c r="P241" s="494">
        <f t="shared" si="19"/>
        <v>0</v>
      </c>
      <c r="Q241" s="494">
        <f t="shared" si="19"/>
        <v>0</v>
      </c>
      <c r="R241" s="494">
        <f t="shared" si="19"/>
        <v>240</v>
      </c>
      <c r="S241" s="494">
        <f t="shared" si="19"/>
        <v>0</v>
      </c>
      <c r="T241" s="494">
        <f t="shared" si="19"/>
        <v>0</v>
      </c>
      <c r="U241" s="541"/>
      <c r="V241" s="351"/>
    </row>
    <row r="242" spans="1:22" s="59" customFormat="1" outlineLevel="2" x14ac:dyDescent="0.25">
      <c r="A242" s="449">
        <v>3900</v>
      </c>
      <c r="B242" s="449">
        <v>5901</v>
      </c>
      <c r="C242" s="449">
        <v>2080</v>
      </c>
      <c r="D242" s="449">
        <v>0</v>
      </c>
      <c r="E242" s="449">
        <v>0</v>
      </c>
      <c r="F242" s="449">
        <v>0</v>
      </c>
      <c r="G242" s="449">
        <v>0</v>
      </c>
      <c r="H242" s="449">
        <v>0</v>
      </c>
      <c r="I242" s="449">
        <v>0</v>
      </c>
      <c r="J242" s="321" t="str">
        <f>CONCATENATE(A242,"/",B242,"/",C242,"/",D242,"/",E242,"/",F242,"/",G242,"/",H242,"/",I242)</f>
        <v>3900/5901/2080/0/0/0/0/0/0</v>
      </c>
      <c r="K242" s="447" t="s">
        <v>4706</v>
      </c>
      <c r="L242" s="201"/>
      <c r="M242" s="201"/>
      <c r="N242" s="201"/>
      <c r="O242" s="201"/>
      <c r="P242" s="201"/>
      <c r="Q242" s="201"/>
      <c r="R242" s="201">
        <v>119000</v>
      </c>
      <c r="S242" s="201"/>
      <c r="T242" s="201"/>
      <c r="U242" s="403"/>
      <c r="V242" s="351"/>
    </row>
    <row r="243" spans="1:22" s="59" customFormat="1" outlineLevel="1" x14ac:dyDescent="0.25">
      <c r="A243" s="504"/>
      <c r="B243" s="504"/>
      <c r="C243" s="505" t="s">
        <v>5011</v>
      </c>
      <c r="D243" s="504"/>
      <c r="E243" s="504"/>
      <c r="F243" s="504"/>
      <c r="G243" s="504"/>
      <c r="H243" s="504"/>
      <c r="I243" s="504"/>
      <c r="J243" s="493">
        <v>2080</v>
      </c>
      <c r="K243" s="493" t="str">
        <f>VLOOKUP(J243,orJ_správce_telefon_mail!A:B,2,0)</f>
        <v xml:space="preserve">Odbor projektového řízení a sportu - Oddělní projektového řízení - Ing. Ovčačík </v>
      </c>
      <c r="L243" s="494">
        <f t="shared" ref="L243:T243" si="20">SUBTOTAL(9,L242:L242)</f>
        <v>0</v>
      </c>
      <c r="M243" s="494">
        <f t="shared" si="20"/>
        <v>0</v>
      </c>
      <c r="N243" s="494">
        <f t="shared" si="20"/>
        <v>0</v>
      </c>
      <c r="O243" s="494">
        <f t="shared" si="20"/>
        <v>0</v>
      </c>
      <c r="P243" s="494">
        <f t="shared" si="20"/>
        <v>0</v>
      </c>
      <c r="Q243" s="494">
        <f t="shared" si="20"/>
        <v>0</v>
      </c>
      <c r="R243" s="494">
        <f t="shared" si="20"/>
        <v>119000</v>
      </c>
      <c r="S243" s="494">
        <f t="shared" si="20"/>
        <v>0</v>
      </c>
      <c r="T243" s="494">
        <f t="shared" si="20"/>
        <v>0</v>
      </c>
      <c r="U243" s="541"/>
      <c r="V243" s="351"/>
    </row>
    <row r="244" spans="1:22" s="59" customFormat="1" outlineLevel="2" x14ac:dyDescent="0.25">
      <c r="A244" s="210">
        <v>3419</v>
      </c>
      <c r="B244" s="210">
        <v>5222</v>
      </c>
      <c r="C244" s="210">
        <v>2086</v>
      </c>
      <c r="D244" s="210">
        <v>0</v>
      </c>
      <c r="E244" s="210">
        <v>0</v>
      </c>
      <c r="F244" s="210">
        <v>0</v>
      </c>
      <c r="G244" s="210">
        <v>0</v>
      </c>
      <c r="H244" s="210">
        <v>0</v>
      </c>
      <c r="I244" s="210">
        <v>0</v>
      </c>
      <c r="J244" s="330" t="str">
        <f t="shared" ref="J244:J250" si="21">CONCATENATE(A244,"/",B244,"/",C244,"/",D244,"/",E244,"/",F244,"/",G244,"/",H244,"/",I244)</f>
        <v>3419/5222/2086/0/0/0/0/0/0</v>
      </c>
      <c r="K244" s="330" t="s">
        <v>4759</v>
      </c>
      <c r="L244" s="206">
        <v>70000</v>
      </c>
      <c r="M244" s="206">
        <v>28000</v>
      </c>
      <c r="N244" s="206">
        <v>110000</v>
      </c>
      <c r="O244" s="206"/>
      <c r="P244" s="206">
        <v>55200</v>
      </c>
      <c r="Q244" s="206"/>
      <c r="R244" s="206">
        <v>57595</v>
      </c>
      <c r="S244" s="206"/>
      <c r="T244" s="206"/>
      <c r="U244" s="531"/>
      <c r="V244" s="351"/>
    </row>
    <row r="245" spans="1:22" s="59" customFormat="1" outlineLevel="2" x14ac:dyDescent="0.25">
      <c r="A245" s="194">
        <v>3412</v>
      </c>
      <c r="B245" s="194">
        <v>5171</v>
      </c>
      <c r="C245" s="193">
        <v>2086</v>
      </c>
      <c r="D245" s="194">
        <v>16805</v>
      </c>
      <c r="E245" s="194">
        <v>0</v>
      </c>
      <c r="F245" s="194">
        <v>0</v>
      </c>
      <c r="G245" s="194">
        <v>0</v>
      </c>
      <c r="H245" s="194">
        <v>0</v>
      </c>
      <c r="I245" s="194">
        <v>0</v>
      </c>
      <c r="J245" s="320" t="str">
        <f t="shared" si="21"/>
        <v>3412/5171/2086/16805/0/0/0/0/0</v>
      </c>
      <c r="K245" s="320" t="s">
        <v>4920</v>
      </c>
      <c r="L245" s="201"/>
      <c r="M245" s="201"/>
      <c r="N245" s="201"/>
      <c r="O245" s="201"/>
      <c r="P245" s="201"/>
      <c r="Q245" s="201"/>
      <c r="R245" s="201"/>
      <c r="S245" s="201">
        <v>70000</v>
      </c>
      <c r="T245" s="201"/>
      <c r="U245" s="403"/>
      <c r="V245" s="351"/>
    </row>
    <row r="246" spans="1:22" s="59" customFormat="1" outlineLevel="2" x14ac:dyDescent="0.25">
      <c r="A246" s="194">
        <v>3412</v>
      </c>
      <c r="B246" s="194">
        <v>5137</v>
      </c>
      <c r="C246" s="193">
        <v>2086</v>
      </c>
      <c r="D246" s="194">
        <v>16805</v>
      </c>
      <c r="E246" s="194">
        <v>0</v>
      </c>
      <c r="F246" s="194">
        <v>0</v>
      </c>
      <c r="G246" s="194">
        <v>0</v>
      </c>
      <c r="H246" s="194">
        <v>0</v>
      </c>
      <c r="I246" s="194">
        <v>0</v>
      </c>
      <c r="J246" s="320" t="str">
        <f t="shared" si="21"/>
        <v>3412/5137/2086/16805/0/0/0/0/0</v>
      </c>
      <c r="K246" s="320" t="s">
        <v>5063</v>
      </c>
      <c r="L246" s="201"/>
      <c r="M246" s="201"/>
      <c r="N246" s="201"/>
      <c r="O246" s="201"/>
      <c r="P246" s="201"/>
      <c r="Q246" s="201"/>
      <c r="R246" s="201"/>
      <c r="S246" s="201">
        <v>10000</v>
      </c>
      <c r="T246" s="201"/>
      <c r="U246" s="403"/>
      <c r="V246" s="351"/>
    </row>
    <row r="247" spans="1:22" s="59" customFormat="1" outlineLevel="2" x14ac:dyDescent="0.25">
      <c r="A247" s="194">
        <v>3412</v>
      </c>
      <c r="B247" s="194">
        <v>5133</v>
      </c>
      <c r="C247" s="193">
        <v>2086</v>
      </c>
      <c r="D247" s="194">
        <v>16805</v>
      </c>
      <c r="E247" s="194">
        <v>0</v>
      </c>
      <c r="F247" s="194">
        <v>0</v>
      </c>
      <c r="G247" s="194">
        <v>0</v>
      </c>
      <c r="H247" s="194">
        <v>0</v>
      </c>
      <c r="I247" s="194">
        <v>0</v>
      </c>
      <c r="J247" s="320" t="str">
        <f t="shared" si="21"/>
        <v>3412/5133/2086/16805/0/0/0/0/0</v>
      </c>
      <c r="K247" s="320" t="s">
        <v>4922</v>
      </c>
      <c r="L247" s="201"/>
      <c r="M247" s="201"/>
      <c r="N247" s="201"/>
      <c r="O247" s="201"/>
      <c r="P247" s="201"/>
      <c r="Q247" s="201"/>
      <c r="R247" s="201"/>
      <c r="S247" s="201">
        <v>1000</v>
      </c>
      <c r="T247" s="201"/>
      <c r="U247" s="403"/>
      <c r="V247" s="351"/>
    </row>
    <row r="248" spans="1:22" s="59" customFormat="1" outlineLevel="2" x14ac:dyDescent="0.25">
      <c r="A248" s="194">
        <v>3412</v>
      </c>
      <c r="B248" s="194">
        <v>5139</v>
      </c>
      <c r="C248" s="193">
        <v>2086</v>
      </c>
      <c r="D248" s="194">
        <v>16805</v>
      </c>
      <c r="E248" s="194">
        <v>0</v>
      </c>
      <c r="F248" s="194">
        <v>0</v>
      </c>
      <c r="G248" s="194">
        <v>0</v>
      </c>
      <c r="H248" s="194">
        <v>0</v>
      </c>
      <c r="I248" s="194">
        <v>0</v>
      </c>
      <c r="J248" s="320" t="str">
        <f t="shared" si="21"/>
        <v>3412/5139/2086/16805/0/0/0/0/0</v>
      </c>
      <c r="K248" s="320" t="s">
        <v>4923</v>
      </c>
      <c r="L248" s="201"/>
      <c r="M248" s="201"/>
      <c r="N248" s="201"/>
      <c r="O248" s="201"/>
      <c r="P248" s="201"/>
      <c r="Q248" s="201"/>
      <c r="R248" s="201"/>
      <c r="S248" s="201">
        <v>19000</v>
      </c>
      <c r="T248" s="201"/>
      <c r="U248" s="403"/>
      <c r="V248" s="351"/>
    </row>
    <row r="249" spans="1:22" outlineLevel="2" x14ac:dyDescent="0.25">
      <c r="A249" s="194">
        <v>3412</v>
      </c>
      <c r="B249" s="194">
        <v>5164</v>
      </c>
      <c r="C249" s="193">
        <v>2086</v>
      </c>
      <c r="D249" s="194">
        <v>16805</v>
      </c>
      <c r="E249" s="194">
        <v>0</v>
      </c>
      <c r="F249" s="194">
        <v>0</v>
      </c>
      <c r="G249" s="194">
        <v>0</v>
      </c>
      <c r="H249" s="194">
        <v>0</v>
      </c>
      <c r="I249" s="194">
        <v>0</v>
      </c>
      <c r="J249" s="320" t="str">
        <f t="shared" si="21"/>
        <v>3412/5164/2086/16805/0/0/0/0/0</v>
      </c>
      <c r="K249" s="320" t="s">
        <v>4924</v>
      </c>
      <c r="L249" s="201"/>
      <c r="M249" s="201"/>
      <c r="N249" s="201"/>
      <c r="O249" s="201"/>
      <c r="P249" s="201"/>
      <c r="Q249" s="201"/>
      <c r="R249" s="201"/>
      <c r="S249" s="201">
        <v>10000</v>
      </c>
      <c r="T249" s="201"/>
      <c r="U249" s="403"/>
      <c r="V249" s="351"/>
    </row>
    <row r="250" spans="1:22" outlineLevel="2" x14ac:dyDescent="0.25">
      <c r="A250" s="194">
        <v>3412</v>
      </c>
      <c r="B250" s="194">
        <v>5169</v>
      </c>
      <c r="C250" s="193">
        <v>2086</v>
      </c>
      <c r="D250" s="194">
        <v>16805</v>
      </c>
      <c r="E250" s="194">
        <v>0</v>
      </c>
      <c r="F250" s="194">
        <v>0</v>
      </c>
      <c r="G250" s="194">
        <v>0</v>
      </c>
      <c r="H250" s="194">
        <v>0</v>
      </c>
      <c r="I250" s="194">
        <v>0</v>
      </c>
      <c r="J250" s="320" t="str">
        <f t="shared" si="21"/>
        <v>3412/5169/2086/16805/0/0/0/0/0</v>
      </c>
      <c r="K250" s="320" t="s">
        <v>4921</v>
      </c>
      <c r="L250" s="201"/>
      <c r="M250" s="201"/>
      <c r="N250" s="201"/>
      <c r="O250" s="201"/>
      <c r="P250" s="201"/>
      <c r="Q250" s="201"/>
      <c r="R250" s="201"/>
      <c r="S250" s="201">
        <v>890000</v>
      </c>
      <c r="T250" s="201"/>
      <c r="U250" s="403"/>
      <c r="V250" s="351"/>
    </row>
    <row r="251" spans="1:22" outlineLevel="2" x14ac:dyDescent="0.25">
      <c r="A251" s="193">
        <v>3412</v>
      </c>
      <c r="B251" s="193">
        <v>5171</v>
      </c>
      <c r="C251" s="193">
        <v>2086</v>
      </c>
      <c r="D251" s="193">
        <v>16600</v>
      </c>
      <c r="E251" s="193">
        <v>0</v>
      </c>
      <c r="F251" s="194">
        <v>0</v>
      </c>
      <c r="G251" s="193">
        <v>0</v>
      </c>
      <c r="H251" s="193">
        <v>0</v>
      </c>
      <c r="I251" s="193">
        <v>0</v>
      </c>
      <c r="J251" s="321" t="str">
        <f t="shared" ref="J251:J296" si="22">CONCATENATE(A251,"/",B251,"/",C251,"/",D251,"/",E251,"/",F251,"/",G251,"/",H251,"/",I251)</f>
        <v>3412/5171/2086/16600/0/0/0/0/0</v>
      </c>
      <c r="K251" s="321" t="s">
        <v>5064</v>
      </c>
      <c r="L251" s="201">
        <f>32028.7+1584976.66+2933</f>
        <v>1619938.3599999999</v>
      </c>
      <c r="M251" s="201">
        <v>10511.87</v>
      </c>
      <c r="N251" s="201">
        <v>9506</v>
      </c>
      <c r="O251" s="201">
        <v>39585.15</v>
      </c>
      <c r="P251" s="201"/>
      <c r="Q251" s="201"/>
      <c r="R251" s="201"/>
      <c r="S251" s="201"/>
      <c r="T251" s="201"/>
      <c r="U251" s="403"/>
      <c r="V251" s="351"/>
    </row>
    <row r="252" spans="1:22" outlineLevel="2" x14ac:dyDescent="0.25">
      <c r="A252" s="193">
        <v>3412</v>
      </c>
      <c r="B252" s="193">
        <v>5169</v>
      </c>
      <c r="C252" s="193">
        <v>2086</v>
      </c>
      <c r="D252" s="193">
        <v>16600</v>
      </c>
      <c r="E252" s="193">
        <v>0</v>
      </c>
      <c r="F252" s="194">
        <v>0</v>
      </c>
      <c r="G252" s="193">
        <v>0</v>
      </c>
      <c r="H252" s="193">
        <v>0</v>
      </c>
      <c r="I252" s="193">
        <v>0</v>
      </c>
      <c r="J252" s="321" t="str">
        <f t="shared" si="22"/>
        <v>3412/5169/2086/16600/0/0/0/0/0</v>
      </c>
      <c r="K252" s="321" t="s">
        <v>5065</v>
      </c>
      <c r="L252" s="201">
        <v>95891.5</v>
      </c>
      <c r="M252" s="201">
        <v>135508</v>
      </c>
      <c r="N252" s="201">
        <v>123527</v>
      </c>
      <c r="O252" s="201">
        <v>91720.17</v>
      </c>
      <c r="P252" s="201"/>
      <c r="Q252" s="201"/>
      <c r="R252" s="201"/>
      <c r="S252" s="201"/>
      <c r="T252" s="201"/>
      <c r="U252" s="403"/>
      <c r="V252" s="351"/>
    </row>
    <row r="253" spans="1:22" outlineLevel="2" x14ac:dyDescent="0.25">
      <c r="A253" s="194">
        <v>3412</v>
      </c>
      <c r="B253" s="194">
        <v>5137</v>
      </c>
      <c r="C253" s="193">
        <v>2086</v>
      </c>
      <c r="D253" s="194">
        <v>16421</v>
      </c>
      <c r="E253" s="194">
        <v>0</v>
      </c>
      <c r="F253" s="194">
        <v>0</v>
      </c>
      <c r="G253" s="194">
        <v>0</v>
      </c>
      <c r="H253" s="194">
        <v>0</v>
      </c>
      <c r="I253" s="194">
        <v>0</v>
      </c>
      <c r="J253" s="320" t="str">
        <f t="shared" si="22"/>
        <v>3412/5137/2086/16421/0/0/0/0/0</v>
      </c>
      <c r="K253" s="320" t="s">
        <v>535</v>
      </c>
      <c r="L253" s="201">
        <v>324857.03999999998</v>
      </c>
      <c r="M253" s="201">
        <v>232621</v>
      </c>
      <c r="N253" s="201">
        <v>127371.67</v>
      </c>
      <c r="O253" s="201">
        <v>39959.040000000001</v>
      </c>
      <c r="P253" s="201">
        <v>35965</v>
      </c>
      <c r="Q253" s="201">
        <v>50000</v>
      </c>
      <c r="R253" s="201">
        <v>50000</v>
      </c>
      <c r="S253" s="201">
        <v>50000</v>
      </c>
      <c r="T253" s="201"/>
      <c r="U253" s="403"/>
      <c r="V253" s="351"/>
    </row>
    <row r="254" spans="1:22" s="59" customFormat="1" outlineLevel="2" x14ac:dyDescent="0.25">
      <c r="A254" s="187">
        <v>3412</v>
      </c>
      <c r="B254" s="187">
        <v>5133</v>
      </c>
      <c r="C254" s="193">
        <v>2086</v>
      </c>
      <c r="D254" s="187">
        <v>16421</v>
      </c>
      <c r="E254" s="187">
        <v>0</v>
      </c>
      <c r="F254" s="187">
        <v>0</v>
      </c>
      <c r="G254" s="187">
        <v>0</v>
      </c>
      <c r="H254" s="187">
        <v>0</v>
      </c>
      <c r="I254" s="187">
        <v>0</v>
      </c>
      <c r="J254" s="327" t="str">
        <f t="shared" si="22"/>
        <v>3412/5133/2086/16421/0/0/0/0/0</v>
      </c>
      <c r="K254" s="327" t="s">
        <v>3748</v>
      </c>
      <c r="L254" s="200"/>
      <c r="M254" s="200"/>
      <c r="N254" s="200"/>
      <c r="O254" s="200">
        <v>100</v>
      </c>
      <c r="P254" s="200">
        <v>1290</v>
      </c>
      <c r="Q254" s="200">
        <v>1000</v>
      </c>
      <c r="R254" s="200">
        <v>1000</v>
      </c>
      <c r="S254" s="200">
        <v>1000</v>
      </c>
      <c r="T254" s="200"/>
      <c r="U254" s="403"/>
      <c r="V254" s="351"/>
    </row>
    <row r="255" spans="1:22" s="59" customFormat="1" outlineLevel="2" x14ac:dyDescent="0.25">
      <c r="A255" s="193">
        <v>3412</v>
      </c>
      <c r="B255" s="193">
        <v>5139</v>
      </c>
      <c r="C255" s="193">
        <v>2086</v>
      </c>
      <c r="D255" s="193">
        <v>16421</v>
      </c>
      <c r="E255" s="193">
        <v>0</v>
      </c>
      <c r="F255" s="194">
        <v>0</v>
      </c>
      <c r="G255" s="193">
        <v>0</v>
      </c>
      <c r="H255" s="193">
        <v>0</v>
      </c>
      <c r="I255" s="193">
        <v>0</v>
      </c>
      <c r="J255" s="321" t="str">
        <f t="shared" si="22"/>
        <v>3412/5139/2086/16421/0/0/0/0/0</v>
      </c>
      <c r="K255" s="321" t="s">
        <v>536</v>
      </c>
      <c r="L255" s="201">
        <f>183297.74+2277</f>
        <v>185574.74</v>
      </c>
      <c r="M255" s="201">
        <f>127340.43+1107</f>
        <v>128447.43</v>
      </c>
      <c r="N255" s="201">
        <v>99426.49</v>
      </c>
      <c r="O255" s="201">
        <v>93647.03</v>
      </c>
      <c r="P255" s="201">
        <v>169529.32</v>
      </c>
      <c r="Q255" s="201">
        <v>78000</v>
      </c>
      <c r="R255" s="201">
        <v>78000</v>
      </c>
      <c r="S255" s="201">
        <v>78000</v>
      </c>
      <c r="T255" s="201"/>
      <c r="U255" s="403"/>
      <c r="V255" s="351"/>
    </row>
    <row r="256" spans="1:22" s="59" customFormat="1" outlineLevel="2" x14ac:dyDescent="0.25">
      <c r="A256" s="194">
        <v>3412</v>
      </c>
      <c r="B256" s="194">
        <v>5164</v>
      </c>
      <c r="C256" s="193">
        <v>2086</v>
      </c>
      <c r="D256" s="194">
        <v>16421</v>
      </c>
      <c r="E256" s="194">
        <v>0</v>
      </c>
      <c r="F256" s="194">
        <v>0</v>
      </c>
      <c r="G256" s="194">
        <v>0</v>
      </c>
      <c r="H256" s="194">
        <v>0</v>
      </c>
      <c r="I256" s="194">
        <v>0</v>
      </c>
      <c r="J256" s="320" t="str">
        <f t="shared" si="22"/>
        <v>3412/5164/2086/16421/0/0/0/0/0</v>
      </c>
      <c r="K256" s="320" t="s">
        <v>537</v>
      </c>
      <c r="L256" s="201">
        <v>24126</v>
      </c>
      <c r="M256" s="201">
        <v>17272</v>
      </c>
      <c r="N256" s="201">
        <v>6930</v>
      </c>
      <c r="O256" s="201">
        <v>4853.01</v>
      </c>
      <c r="P256" s="201">
        <v>7348.33</v>
      </c>
      <c r="Q256" s="201">
        <v>11000</v>
      </c>
      <c r="R256" s="201">
        <v>11000</v>
      </c>
      <c r="S256" s="201">
        <v>7000</v>
      </c>
      <c r="T256" s="201"/>
      <c r="U256" s="403" t="s">
        <v>4910</v>
      </c>
      <c r="V256" s="351"/>
    </row>
    <row r="257" spans="1:22" s="59" customFormat="1" outlineLevel="2" x14ac:dyDescent="0.25">
      <c r="A257" s="194">
        <v>3412</v>
      </c>
      <c r="B257" s="194">
        <v>5171</v>
      </c>
      <c r="C257" s="193">
        <v>2086</v>
      </c>
      <c r="D257" s="194">
        <v>16421</v>
      </c>
      <c r="E257" s="194">
        <v>0</v>
      </c>
      <c r="F257" s="194">
        <v>0</v>
      </c>
      <c r="G257" s="194">
        <v>0</v>
      </c>
      <c r="H257" s="194">
        <v>0</v>
      </c>
      <c r="I257" s="194">
        <v>0</v>
      </c>
      <c r="J257" s="320" t="str">
        <f t="shared" si="22"/>
        <v>3412/5171/2086/16421/0/0/0/0/0</v>
      </c>
      <c r="K257" s="320" t="s">
        <v>538</v>
      </c>
      <c r="L257" s="201">
        <v>43937.79</v>
      </c>
      <c r="M257" s="201">
        <f>41465.69+30779.01</f>
        <v>72244.7</v>
      </c>
      <c r="N257" s="201">
        <v>73329.42</v>
      </c>
      <c r="O257" s="201">
        <v>44491.360000000001</v>
      </c>
      <c r="P257" s="201">
        <v>37518.47</v>
      </c>
      <c r="Q257" s="201">
        <v>50000</v>
      </c>
      <c r="R257" s="201">
        <v>50000</v>
      </c>
      <c r="S257" s="201">
        <v>50000</v>
      </c>
      <c r="T257" s="201"/>
      <c r="U257" s="403"/>
      <c r="V257" s="351"/>
    </row>
    <row r="258" spans="1:22" s="59" customFormat="1" outlineLevel="2" x14ac:dyDescent="0.25">
      <c r="A258" s="187">
        <v>3412</v>
      </c>
      <c r="B258" s="187">
        <v>5041</v>
      </c>
      <c r="C258" s="193">
        <v>2086</v>
      </c>
      <c r="D258" s="187">
        <v>16421</v>
      </c>
      <c r="E258" s="187">
        <v>0</v>
      </c>
      <c r="F258" s="187">
        <v>0</v>
      </c>
      <c r="G258" s="187">
        <v>0</v>
      </c>
      <c r="H258" s="187">
        <v>0</v>
      </c>
      <c r="I258" s="187">
        <v>0</v>
      </c>
      <c r="J258" s="327" t="str">
        <f t="shared" si="22"/>
        <v>3412/5041/2086/16421/0/0/0/0/0</v>
      </c>
      <c r="K258" s="327" t="s">
        <v>3746</v>
      </c>
      <c r="L258" s="200"/>
      <c r="M258" s="200"/>
      <c r="N258" s="200"/>
      <c r="O258" s="200">
        <v>13685.46</v>
      </c>
      <c r="P258" s="200">
        <v>22757.56</v>
      </c>
      <c r="Q258" s="200">
        <v>29640</v>
      </c>
      <c r="R258" s="200">
        <v>29640</v>
      </c>
      <c r="S258" s="200">
        <v>29640</v>
      </c>
      <c r="T258" s="200"/>
      <c r="U258" s="403"/>
      <c r="V258" s="351"/>
    </row>
    <row r="259" spans="1:22" s="59" customFormat="1" outlineLevel="2" x14ac:dyDescent="0.25">
      <c r="A259" s="194">
        <v>3412</v>
      </c>
      <c r="B259" s="194">
        <v>5169</v>
      </c>
      <c r="C259" s="193">
        <v>2086</v>
      </c>
      <c r="D259" s="194">
        <v>16421</v>
      </c>
      <c r="E259" s="194">
        <v>0</v>
      </c>
      <c r="F259" s="194">
        <v>0</v>
      </c>
      <c r="G259" s="194">
        <v>0</v>
      </c>
      <c r="H259" s="194">
        <v>0</v>
      </c>
      <c r="I259" s="194">
        <v>0</v>
      </c>
      <c r="J259" s="320" t="str">
        <f t="shared" si="22"/>
        <v>3412/5169/2086/16421/0/0/0/0/0</v>
      </c>
      <c r="K259" s="320" t="s">
        <v>539</v>
      </c>
      <c r="L259" s="201">
        <f>472248.4+2904+9075</f>
        <v>484227.4</v>
      </c>
      <c r="M259" s="201">
        <f>416956+14618+515</f>
        <v>432089</v>
      </c>
      <c r="N259" s="201">
        <v>718865.34</v>
      </c>
      <c r="O259" s="201">
        <v>928238.65999999992</v>
      </c>
      <c r="P259" s="201">
        <v>1483169.81</v>
      </c>
      <c r="Q259" s="201">
        <v>2200000</v>
      </c>
      <c r="R259" s="201">
        <v>2202169.8199999998</v>
      </c>
      <c r="S259" s="201">
        <v>2400000</v>
      </c>
      <c r="T259" s="201"/>
      <c r="U259" s="403" t="s">
        <v>4914</v>
      </c>
      <c r="V259" s="351"/>
    </row>
    <row r="260" spans="1:22" s="59" customFormat="1" outlineLevel="2" x14ac:dyDescent="0.25">
      <c r="A260" s="187">
        <v>3412</v>
      </c>
      <c r="B260" s="187">
        <v>5163</v>
      </c>
      <c r="C260" s="193">
        <v>2086</v>
      </c>
      <c r="D260" s="187">
        <v>16421</v>
      </c>
      <c r="E260" s="187">
        <v>0</v>
      </c>
      <c r="F260" s="187">
        <v>0</v>
      </c>
      <c r="G260" s="187">
        <v>0</v>
      </c>
      <c r="H260" s="187">
        <v>0</v>
      </c>
      <c r="I260" s="187">
        <v>0</v>
      </c>
      <c r="J260" s="327" t="str">
        <f t="shared" si="22"/>
        <v>3412/5163/2086/16421/0/0/0/0/0</v>
      </c>
      <c r="K260" s="327" t="s">
        <v>3749</v>
      </c>
      <c r="L260" s="200"/>
      <c r="M260" s="200"/>
      <c r="N260" s="200"/>
      <c r="O260" s="200"/>
      <c r="P260" s="200"/>
      <c r="Q260" s="200">
        <v>2000</v>
      </c>
      <c r="R260" s="200">
        <v>2000</v>
      </c>
      <c r="S260" s="200">
        <v>2000</v>
      </c>
      <c r="T260" s="200"/>
      <c r="U260" s="403"/>
      <c r="V260" s="351"/>
    </row>
    <row r="261" spans="1:22" s="59" customFormat="1" outlineLevel="2" x14ac:dyDescent="0.25">
      <c r="A261" s="193">
        <v>3412</v>
      </c>
      <c r="B261" s="193">
        <v>5162</v>
      </c>
      <c r="C261" s="193">
        <v>2086</v>
      </c>
      <c r="D261" s="193">
        <v>16421</v>
      </c>
      <c r="E261" s="193">
        <v>0</v>
      </c>
      <c r="F261" s="194">
        <v>0</v>
      </c>
      <c r="G261" s="193">
        <v>0</v>
      </c>
      <c r="H261" s="193">
        <v>0</v>
      </c>
      <c r="I261" s="193">
        <v>0</v>
      </c>
      <c r="J261" s="321" t="str">
        <f t="shared" si="22"/>
        <v>3412/5162/2086/16421/0/0/0/0/0</v>
      </c>
      <c r="K261" s="321" t="s">
        <v>530</v>
      </c>
      <c r="L261" s="201">
        <v>2195.1799999999998</v>
      </c>
      <c r="M261" s="201">
        <v>96.85</v>
      </c>
      <c r="N261" s="201">
        <v>1067.8599999999999</v>
      </c>
      <c r="O261" s="201">
        <v>1198.54</v>
      </c>
      <c r="P261" s="201">
        <v>2068.61</v>
      </c>
      <c r="Q261" s="201">
        <v>3900</v>
      </c>
      <c r="R261" s="201">
        <v>3900</v>
      </c>
      <c r="S261" s="201">
        <v>3900</v>
      </c>
      <c r="T261" s="201"/>
      <c r="U261" s="403"/>
      <c r="V261" s="351"/>
    </row>
    <row r="262" spans="1:22" s="59" customFormat="1" outlineLevel="2" x14ac:dyDescent="0.25">
      <c r="A262" s="194">
        <v>3412</v>
      </c>
      <c r="B262" s="194">
        <v>5138</v>
      </c>
      <c r="C262" s="193">
        <v>2086</v>
      </c>
      <c r="D262" s="194">
        <v>16421</v>
      </c>
      <c r="E262" s="194">
        <v>0</v>
      </c>
      <c r="F262" s="194">
        <v>0</v>
      </c>
      <c r="G262" s="194">
        <v>0</v>
      </c>
      <c r="H262" s="194">
        <v>0</v>
      </c>
      <c r="I262" s="194">
        <v>0</v>
      </c>
      <c r="J262" s="320" t="str">
        <f t="shared" si="22"/>
        <v>3412/5138/2086/16421/0/0/0/0/0</v>
      </c>
      <c r="K262" s="320" t="s">
        <v>540</v>
      </c>
      <c r="L262" s="201">
        <v>4115</v>
      </c>
      <c r="M262" s="201">
        <v>2056</v>
      </c>
      <c r="N262" s="201">
        <v>1270</v>
      </c>
      <c r="O262" s="201">
        <v>1030</v>
      </c>
      <c r="P262" s="201">
        <v>1488</v>
      </c>
      <c r="Q262" s="201">
        <v>5000</v>
      </c>
      <c r="R262" s="201">
        <v>5000</v>
      </c>
      <c r="S262" s="201">
        <v>5000</v>
      </c>
      <c r="T262" s="201"/>
      <c r="U262" s="403"/>
      <c r="V262" s="351"/>
    </row>
    <row r="263" spans="1:22" s="59" customFormat="1" outlineLevel="2" x14ac:dyDescent="0.25">
      <c r="A263" s="187">
        <v>3412</v>
      </c>
      <c r="B263" s="187">
        <v>5909</v>
      </c>
      <c r="C263" s="193">
        <v>2086</v>
      </c>
      <c r="D263" s="187">
        <v>16432</v>
      </c>
      <c r="E263" s="187">
        <v>0</v>
      </c>
      <c r="F263" s="187">
        <v>0</v>
      </c>
      <c r="G263" s="187">
        <v>0</v>
      </c>
      <c r="H263" s="187">
        <v>0</v>
      </c>
      <c r="I263" s="187">
        <v>0</v>
      </c>
      <c r="J263" s="327" t="str">
        <f t="shared" si="22"/>
        <v>3412/5909/2086/16432/0/0/0/0/0</v>
      </c>
      <c r="K263" s="327" t="s">
        <v>3751</v>
      </c>
      <c r="L263" s="200"/>
      <c r="M263" s="200"/>
      <c r="N263" s="200"/>
      <c r="O263" s="200">
        <v>1980</v>
      </c>
      <c r="P263" s="200"/>
      <c r="Q263" s="200"/>
      <c r="R263" s="200"/>
      <c r="S263" s="200"/>
      <c r="T263" s="200"/>
      <c r="U263" s="403"/>
      <c r="V263" s="351"/>
    </row>
    <row r="264" spans="1:22" s="59" customFormat="1" outlineLevel="2" x14ac:dyDescent="0.25">
      <c r="A264" s="210">
        <v>3421</v>
      </c>
      <c r="B264" s="210">
        <v>5222</v>
      </c>
      <c r="C264" s="210">
        <v>2086</v>
      </c>
      <c r="D264" s="210">
        <v>43050</v>
      </c>
      <c r="E264" s="210">
        <v>0</v>
      </c>
      <c r="F264" s="210">
        <v>0</v>
      </c>
      <c r="G264" s="210">
        <v>0</v>
      </c>
      <c r="H264" s="210">
        <v>0</v>
      </c>
      <c r="I264" s="210">
        <v>0</v>
      </c>
      <c r="J264" s="330" t="str">
        <f t="shared" si="22"/>
        <v>3421/5222/2086/43050/0/0/0/0/0</v>
      </c>
      <c r="K264" s="330" t="s">
        <v>429</v>
      </c>
      <c r="L264" s="206"/>
      <c r="M264" s="206"/>
      <c r="N264" s="206">
        <v>10000</v>
      </c>
      <c r="O264" s="206">
        <v>20000</v>
      </c>
      <c r="P264" s="206"/>
      <c r="Q264" s="206">
        <v>25000</v>
      </c>
      <c r="R264" s="206"/>
      <c r="S264" s="206"/>
      <c r="T264" s="206"/>
      <c r="U264" s="531"/>
      <c r="V264" s="351"/>
    </row>
    <row r="265" spans="1:22" s="59" customFormat="1" outlineLevel="2" x14ac:dyDescent="0.25">
      <c r="A265" s="216">
        <v>3419</v>
      </c>
      <c r="B265" s="216">
        <v>5222</v>
      </c>
      <c r="C265" s="210">
        <v>2086</v>
      </c>
      <c r="D265" s="216">
        <v>0</v>
      </c>
      <c r="E265" s="216">
        <v>0</v>
      </c>
      <c r="F265" s="216">
        <v>0</v>
      </c>
      <c r="G265" s="216">
        <v>0</v>
      </c>
      <c r="H265" s="216">
        <v>1</v>
      </c>
      <c r="I265" s="216">
        <v>0</v>
      </c>
      <c r="J265" s="322" t="str">
        <f t="shared" si="22"/>
        <v>3419/5222/2086/0/0/0/0/1/0</v>
      </c>
      <c r="K265" s="322" t="s">
        <v>4454</v>
      </c>
      <c r="L265" s="345"/>
      <c r="M265" s="345"/>
      <c r="N265" s="345"/>
      <c r="O265" s="345"/>
      <c r="P265" s="345"/>
      <c r="Q265" s="345">
        <v>400000</v>
      </c>
      <c r="R265" s="345">
        <v>400000</v>
      </c>
      <c r="S265" s="345">
        <v>688880</v>
      </c>
      <c r="T265" s="345"/>
      <c r="U265" s="531"/>
      <c r="V265" s="351"/>
    </row>
    <row r="266" spans="1:22" s="59" customFormat="1" outlineLevel="2" x14ac:dyDescent="0.25">
      <c r="A266" s="188">
        <v>3419</v>
      </c>
      <c r="B266" s="188">
        <v>5901</v>
      </c>
      <c r="C266" s="188">
        <v>2086</v>
      </c>
      <c r="D266" s="188">
        <v>0</v>
      </c>
      <c r="E266" s="188">
        <v>0</v>
      </c>
      <c r="F266" s="439">
        <v>0</v>
      </c>
      <c r="G266" s="188">
        <v>0</v>
      </c>
      <c r="H266" s="188">
        <v>52</v>
      </c>
      <c r="I266" s="188">
        <v>0</v>
      </c>
      <c r="J266" s="329" t="str">
        <f t="shared" si="22"/>
        <v>3419/5901/2086/0/0/0/0/52/0</v>
      </c>
      <c r="K266" s="329" t="s">
        <v>431</v>
      </c>
      <c r="L266" s="350">
        <v>744000</v>
      </c>
      <c r="M266" s="350">
        <v>1162300</v>
      </c>
      <c r="N266" s="350">
        <v>295400</v>
      </c>
      <c r="O266" s="350">
        <v>90000</v>
      </c>
      <c r="P266" s="350">
        <v>269800</v>
      </c>
      <c r="Q266" s="350">
        <v>250000</v>
      </c>
      <c r="R266" s="350">
        <v>250000</v>
      </c>
      <c r="S266" s="350">
        <v>250000</v>
      </c>
      <c r="T266" s="350"/>
      <c r="U266" s="315"/>
      <c r="V266" s="351"/>
    </row>
    <row r="267" spans="1:22" s="59" customFormat="1" outlineLevel="2" x14ac:dyDescent="0.25">
      <c r="A267" s="209">
        <v>3419</v>
      </c>
      <c r="B267" s="209">
        <v>5222</v>
      </c>
      <c r="C267" s="209">
        <v>2086</v>
      </c>
      <c r="D267" s="209">
        <v>43526</v>
      </c>
      <c r="E267" s="209">
        <v>0</v>
      </c>
      <c r="F267" s="210">
        <v>0</v>
      </c>
      <c r="G267" s="209">
        <v>0</v>
      </c>
      <c r="H267" s="209">
        <v>4</v>
      </c>
      <c r="I267" s="209">
        <v>0</v>
      </c>
      <c r="J267" s="324" t="str">
        <f t="shared" si="22"/>
        <v>3419/5222/2086/43526/0/0/0/4/0</v>
      </c>
      <c r="K267" s="324" t="s">
        <v>433</v>
      </c>
      <c r="L267" s="206">
        <v>2540000</v>
      </c>
      <c r="M267" s="206">
        <v>2540000</v>
      </c>
      <c r="N267" s="206">
        <v>2245881</v>
      </c>
      <c r="O267" s="206">
        <v>2245881</v>
      </c>
      <c r="P267" s="206">
        <v>2245881</v>
      </c>
      <c r="Q267" s="206">
        <v>2245881</v>
      </c>
      <c r="R267" s="206">
        <v>2245881</v>
      </c>
      <c r="S267" s="206">
        <v>2185000</v>
      </c>
      <c r="T267" s="206">
        <f>2249000-2185000</f>
        <v>64000</v>
      </c>
      <c r="U267" s="531" t="s">
        <v>5041</v>
      </c>
      <c r="V267" s="351"/>
    </row>
    <row r="268" spans="1:22" s="59" customFormat="1" outlineLevel="2" x14ac:dyDescent="0.25">
      <c r="A268" s="216">
        <v>3419</v>
      </c>
      <c r="B268" s="216">
        <v>5222</v>
      </c>
      <c r="C268" s="209">
        <v>2086</v>
      </c>
      <c r="D268" s="216">
        <v>43028</v>
      </c>
      <c r="E268" s="216">
        <v>0</v>
      </c>
      <c r="F268" s="216">
        <v>0</v>
      </c>
      <c r="G268" s="216">
        <v>0</v>
      </c>
      <c r="H268" s="216">
        <v>0</v>
      </c>
      <c r="I268" s="216">
        <v>0</v>
      </c>
      <c r="J268" s="322" t="str">
        <f t="shared" si="22"/>
        <v>3419/5222/2086/43028/0/0/0/0/0</v>
      </c>
      <c r="K268" s="322" t="s">
        <v>5095</v>
      </c>
      <c r="L268" s="345"/>
      <c r="M268" s="345"/>
      <c r="N268" s="345"/>
      <c r="O268" s="345"/>
      <c r="P268" s="345"/>
      <c r="Q268" s="345"/>
      <c r="R268" s="345"/>
      <c r="S268" s="345"/>
      <c r="T268" s="345">
        <v>840000</v>
      </c>
      <c r="U268" s="531" t="s">
        <v>5096</v>
      </c>
      <c r="V268" s="351"/>
    </row>
    <row r="269" spans="1:22" s="59" customFormat="1" outlineLevel="2" x14ac:dyDescent="0.25">
      <c r="A269" s="194">
        <v>3412</v>
      </c>
      <c r="B269" s="194">
        <v>5171</v>
      </c>
      <c r="C269" s="193">
        <v>2086</v>
      </c>
      <c r="D269" s="194">
        <v>16014</v>
      </c>
      <c r="E269" s="194">
        <v>0</v>
      </c>
      <c r="F269" s="194">
        <v>0</v>
      </c>
      <c r="G269" s="194">
        <v>0</v>
      </c>
      <c r="H269" s="194">
        <v>0</v>
      </c>
      <c r="I269" s="194">
        <v>0</v>
      </c>
      <c r="J269" s="320" t="str">
        <f t="shared" si="22"/>
        <v>3412/5171/2086/16014/0/0/0/0/0</v>
      </c>
      <c r="K269" s="320" t="s">
        <v>4925</v>
      </c>
      <c r="L269" s="201"/>
      <c r="M269" s="201"/>
      <c r="N269" s="201"/>
      <c r="O269" s="201"/>
      <c r="P269" s="201"/>
      <c r="Q269" s="201"/>
      <c r="R269" s="201"/>
      <c r="S269" s="201">
        <v>400000</v>
      </c>
      <c r="T269" s="201"/>
      <c r="U269" s="403" t="s">
        <v>4926</v>
      </c>
      <c r="V269" s="351"/>
    </row>
    <row r="270" spans="1:22" s="59" customFormat="1" outlineLevel="2" x14ac:dyDescent="0.25">
      <c r="A270" s="193">
        <v>3412</v>
      </c>
      <c r="B270" s="193">
        <v>5137</v>
      </c>
      <c r="C270" s="193">
        <v>2086</v>
      </c>
      <c r="D270" s="193">
        <v>16807</v>
      </c>
      <c r="E270" s="193">
        <v>0</v>
      </c>
      <c r="F270" s="194">
        <v>0</v>
      </c>
      <c r="G270" s="193">
        <v>0</v>
      </c>
      <c r="H270" s="193">
        <v>0</v>
      </c>
      <c r="I270" s="193">
        <v>0</v>
      </c>
      <c r="J270" s="321" t="str">
        <f t="shared" si="22"/>
        <v>3412/5137/2086/16807/0/0/0/0/0</v>
      </c>
      <c r="K270" s="321" t="s">
        <v>549</v>
      </c>
      <c r="L270" s="201">
        <v>600</v>
      </c>
      <c r="M270" s="201"/>
      <c r="N270" s="201"/>
      <c r="O270" s="201"/>
      <c r="P270" s="201"/>
      <c r="Q270" s="201">
        <v>5000</v>
      </c>
      <c r="R270" s="201">
        <v>2000</v>
      </c>
      <c r="S270" s="201">
        <v>45000</v>
      </c>
      <c r="T270" s="201"/>
      <c r="U270" s="403" t="s">
        <v>4907</v>
      </c>
      <c r="V270" s="351"/>
    </row>
    <row r="271" spans="1:22" outlineLevel="2" x14ac:dyDescent="0.25">
      <c r="A271" s="193">
        <v>3412</v>
      </c>
      <c r="B271" s="193">
        <v>5139</v>
      </c>
      <c r="C271" s="193">
        <v>2086</v>
      </c>
      <c r="D271" s="193">
        <v>16807</v>
      </c>
      <c r="E271" s="193">
        <v>0</v>
      </c>
      <c r="F271" s="194">
        <v>0</v>
      </c>
      <c r="G271" s="193">
        <v>0</v>
      </c>
      <c r="H271" s="193">
        <v>0</v>
      </c>
      <c r="I271" s="193">
        <v>0</v>
      </c>
      <c r="J271" s="321" t="str">
        <f t="shared" si="22"/>
        <v>3412/5139/2086/16807/0/0/0/0/0</v>
      </c>
      <c r="K271" s="321" t="s">
        <v>550</v>
      </c>
      <c r="L271" s="201">
        <f>3513.5+12388</f>
        <v>15901.5</v>
      </c>
      <c r="M271" s="201">
        <v>10003</v>
      </c>
      <c r="N271" s="201">
        <v>9350</v>
      </c>
      <c r="O271" s="201">
        <v>10424</v>
      </c>
      <c r="P271" s="201">
        <v>10412</v>
      </c>
      <c r="Q271" s="201">
        <v>4000</v>
      </c>
      <c r="R271" s="201">
        <v>7000</v>
      </c>
      <c r="S271" s="201">
        <v>12000</v>
      </c>
      <c r="T271" s="201"/>
      <c r="U271" s="403" t="s">
        <v>4908</v>
      </c>
      <c r="V271" s="351"/>
    </row>
    <row r="272" spans="1:22" s="59" customFormat="1" outlineLevel="2" x14ac:dyDescent="0.25">
      <c r="A272" s="193">
        <v>3412</v>
      </c>
      <c r="B272" s="193">
        <v>5171</v>
      </c>
      <c r="C272" s="193">
        <v>2086</v>
      </c>
      <c r="D272" s="193">
        <v>16807</v>
      </c>
      <c r="E272" s="193">
        <v>0</v>
      </c>
      <c r="F272" s="194">
        <v>0</v>
      </c>
      <c r="G272" s="193">
        <v>0</v>
      </c>
      <c r="H272" s="193">
        <v>0</v>
      </c>
      <c r="I272" s="193">
        <v>0</v>
      </c>
      <c r="J272" s="321" t="str">
        <f t="shared" si="22"/>
        <v>3412/5171/2086/16807/0/0/0/0/0</v>
      </c>
      <c r="K272" s="321" t="s">
        <v>551</v>
      </c>
      <c r="L272" s="201">
        <v>0</v>
      </c>
      <c r="M272" s="201">
        <v>31937.5</v>
      </c>
      <c r="N272" s="201">
        <v>22578.6</v>
      </c>
      <c r="O272" s="201">
        <v>95913.33</v>
      </c>
      <c r="P272" s="201">
        <v>41969.47</v>
      </c>
      <c r="Q272" s="201">
        <v>50000</v>
      </c>
      <c r="R272" s="201">
        <v>49500</v>
      </c>
      <c r="S272" s="201">
        <v>80000</v>
      </c>
      <c r="T272" s="201"/>
      <c r="U272" s="403" t="s">
        <v>4918</v>
      </c>
      <c r="V272" s="351"/>
    </row>
    <row r="273" spans="1:22" s="59" customFormat="1" outlineLevel="2" x14ac:dyDescent="0.25">
      <c r="A273" s="194">
        <v>3412</v>
      </c>
      <c r="B273" s="194">
        <v>5164</v>
      </c>
      <c r="C273" s="193">
        <v>2086</v>
      </c>
      <c r="D273" s="187">
        <v>16807</v>
      </c>
      <c r="E273" s="187">
        <v>0</v>
      </c>
      <c r="F273" s="194">
        <v>0</v>
      </c>
      <c r="G273" s="193">
        <v>0</v>
      </c>
      <c r="H273" s="193">
        <v>0</v>
      </c>
      <c r="I273" s="193">
        <v>0</v>
      </c>
      <c r="J273" s="321" t="str">
        <f t="shared" si="22"/>
        <v>3412/5164/2086/16807/0/0/0/0/0</v>
      </c>
      <c r="K273" s="321" t="s">
        <v>4407</v>
      </c>
      <c r="L273" s="201"/>
      <c r="M273" s="201"/>
      <c r="N273" s="201"/>
      <c r="O273" s="201"/>
      <c r="P273" s="201">
        <v>580.79999999999995</v>
      </c>
      <c r="Q273" s="201">
        <v>800</v>
      </c>
      <c r="R273" s="201">
        <v>1300</v>
      </c>
      <c r="S273" s="201">
        <v>1300</v>
      </c>
      <c r="T273" s="201"/>
      <c r="U273" s="403"/>
      <c r="V273" s="351"/>
    </row>
    <row r="274" spans="1:22" s="59" customFormat="1" outlineLevel="2" x14ac:dyDescent="0.25">
      <c r="A274" s="193">
        <v>3412</v>
      </c>
      <c r="B274" s="193">
        <v>5169</v>
      </c>
      <c r="C274" s="193">
        <v>2086</v>
      </c>
      <c r="D274" s="193">
        <v>16807</v>
      </c>
      <c r="E274" s="193">
        <v>0</v>
      </c>
      <c r="F274" s="194">
        <v>0</v>
      </c>
      <c r="G274" s="193">
        <v>0</v>
      </c>
      <c r="H274" s="193">
        <v>0</v>
      </c>
      <c r="I274" s="193">
        <v>0</v>
      </c>
      <c r="J274" s="321" t="str">
        <f t="shared" si="22"/>
        <v>3412/5169/2086/16807/0/0/0/0/0</v>
      </c>
      <c r="K274" s="321" t="s">
        <v>5066</v>
      </c>
      <c r="L274" s="201">
        <f>13431+40911+10819.9-3.71</f>
        <v>65158.19</v>
      </c>
      <c r="M274" s="201">
        <v>40895.599999999999</v>
      </c>
      <c r="N274" s="201">
        <v>54007.85</v>
      </c>
      <c r="O274" s="201">
        <v>93762.1</v>
      </c>
      <c r="P274" s="201">
        <v>74267.66</v>
      </c>
      <c r="Q274" s="201">
        <v>80000</v>
      </c>
      <c r="R274" s="201">
        <v>80000</v>
      </c>
      <c r="S274" s="201">
        <v>90000</v>
      </c>
      <c r="T274" s="201"/>
      <c r="U274" s="403" t="s">
        <v>4915</v>
      </c>
      <c r="V274" s="351"/>
    </row>
    <row r="275" spans="1:22" s="59" customFormat="1" outlineLevel="2" x14ac:dyDescent="0.25">
      <c r="A275" s="193">
        <v>3412</v>
      </c>
      <c r="B275" s="193">
        <v>5171</v>
      </c>
      <c r="C275" s="193">
        <v>2086</v>
      </c>
      <c r="D275" s="193">
        <v>16433</v>
      </c>
      <c r="E275" s="193">
        <v>0</v>
      </c>
      <c r="F275" s="194">
        <v>0</v>
      </c>
      <c r="G275" s="193">
        <v>0</v>
      </c>
      <c r="H275" s="193">
        <v>0</v>
      </c>
      <c r="I275" s="193">
        <v>0</v>
      </c>
      <c r="J275" s="321" t="str">
        <f t="shared" si="22"/>
        <v>3412/5171/2086/16433/0/0/0/0/0</v>
      </c>
      <c r="K275" s="321" t="s">
        <v>552</v>
      </c>
      <c r="L275" s="201">
        <v>0</v>
      </c>
      <c r="M275" s="201"/>
      <c r="N275" s="201">
        <v>298081.91999999998</v>
      </c>
      <c r="O275" s="201">
        <v>117524.17</v>
      </c>
      <c r="P275" s="201">
        <v>71367.399999999994</v>
      </c>
      <c r="Q275" s="201">
        <v>40000</v>
      </c>
      <c r="R275" s="201">
        <v>40000</v>
      </c>
      <c r="S275" s="201">
        <v>40000</v>
      </c>
      <c r="T275" s="201"/>
      <c r="U275" s="403"/>
      <c r="V275" s="351"/>
    </row>
    <row r="276" spans="1:22" s="59" customFormat="1" outlineLevel="2" x14ac:dyDescent="0.25">
      <c r="A276" s="194">
        <v>3412</v>
      </c>
      <c r="B276" s="194">
        <v>5169</v>
      </c>
      <c r="C276" s="193">
        <v>2086</v>
      </c>
      <c r="D276" s="194">
        <v>16433</v>
      </c>
      <c r="E276" s="194">
        <v>0</v>
      </c>
      <c r="F276" s="194">
        <v>0</v>
      </c>
      <c r="G276" s="193">
        <v>0</v>
      </c>
      <c r="H276" s="193">
        <v>0</v>
      </c>
      <c r="I276" s="193">
        <v>0</v>
      </c>
      <c r="J276" s="321" t="str">
        <f t="shared" si="22"/>
        <v>3412/5169/2086/16433/0/0/0/0/0</v>
      </c>
      <c r="K276" s="321" t="s">
        <v>4408</v>
      </c>
      <c r="L276" s="201"/>
      <c r="M276" s="201"/>
      <c r="N276" s="201"/>
      <c r="O276" s="201"/>
      <c r="P276" s="201">
        <v>3677.66</v>
      </c>
      <c r="Q276" s="201">
        <v>3000</v>
      </c>
      <c r="R276" s="201">
        <v>3000</v>
      </c>
      <c r="S276" s="201">
        <v>3000</v>
      </c>
      <c r="T276" s="201"/>
      <c r="U276" s="403"/>
      <c r="V276" s="351"/>
    </row>
    <row r="277" spans="1:22" s="59" customFormat="1" outlineLevel="2" x14ac:dyDescent="0.25">
      <c r="A277" s="209">
        <v>3419</v>
      </c>
      <c r="B277" s="209">
        <v>5222</v>
      </c>
      <c r="C277" s="209">
        <v>2086</v>
      </c>
      <c r="D277" s="209">
        <v>43029</v>
      </c>
      <c r="E277" s="209">
        <v>0</v>
      </c>
      <c r="F277" s="210">
        <v>0</v>
      </c>
      <c r="G277" s="209">
        <v>0</v>
      </c>
      <c r="H277" s="209">
        <v>0</v>
      </c>
      <c r="I277" s="209">
        <v>0</v>
      </c>
      <c r="J277" s="324" t="str">
        <f t="shared" si="22"/>
        <v>3419/5222/2086/43029/0/0/0/0/0</v>
      </c>
      <c r="K277" s="324" t="s">
        <v>434</v>
      </c>
      <c r="L277" s="206">
        <f>780000+500000</f>
        <v>1280000</v>
      </c>
      <c r="M277" s="206">
        <v>800000</v>
      </c>
      <c r="N277" s="206">
        <v>800000</v>
      </c>
      <c r="O277" s="206">
        <v>800000</v>
      </c>
      <c r="P277" s="206">
        <v>800000</v>
      </c>
      <c r="Q277" s="206">
        <v>800000</v>
      </c>
      <c r="R277" s="206">
        <v>800000</v>
      </c>
      <c r="S277" s="206">
        <f>800000+363000</f>
        <v>1163000</v>
      </c>
      <c r="T277" s="206"/>
      <c r="U277" s="531"/>
      <c r="V277" s="351"/>
    </row>
    <row r="278" spans="1:22" s="66" customFormat="1" outlineLevel="2" x14ac:dyDescent="0.25">
      <c r="A278" s="209">
        <v>3419</v>
      </c>
      <c r="B278" s="209">
        <v>5901</v>
      </c>
      <c r="C278" s="209">
        <v>2086</v>
      </c>
      <c r="D278" s="209">
        <v>0</v>
      </c>
      <c r="E278" s="209">
        <v>0</v>
      </c>
      <c r="F278" s="210">
        <v>0</v>
      </c>
      <c r="G278" s="209">
        <v>0</v>
      </c>
      <c r="H278" s="209">
        <v>0</v>
      </c>
      <c r="I278" s="209">
        <v>0</v>
      </c>
      <c r="J278" s="324" t="str">
        <f t="shared" si="22"/>
        <v>3419/5901/2086/0/0/0/0/0/0</v>
      </c>
      <c r="K278" s="324" t="s">
        <v>435</v>
      </c>
      <c r="L278" s="206">
        <v>0</v>
      </c>
      <c r="M278" s="206"/>
      <c r="N278" s="206"/>
      <c r="O278" s="206"/>
      <c r="P278" s="206"/>
      <c r="Q278" s="206">
        <f>50000+20000+90000</f>
        <v>160000</v>
      </c>
      <c r="R278" s="206">
        <v>145000</v>
      </c>
      <c r="S278" s="206">
        <v>100000</v>
      </c>
      <c r="T278" s="206">
        <v>100000</v>
      </c>
      <c r="U278" s="531"/>
      <c r="V278" s="351"/>
    </row>
    <row r="279" spans="1:22" s="59" customFormat="1" outlineLevel="2" x14ac:dyDescent="0.25">
      <c r="A279" s="194">
        <v>3419</v>
      </c>
      <c r="B279" s="194">
        <v>5169</v>
      </c>
      <c r="C279" s="194">
        <v>2086</v>
      </c>
      <c r="D279" s="193">
        <v>0</v>
      </c>
      <c r="E279" s="193">
        <v>0</v>
      </c>
      <c r="F279" s="194">
        <v>0</v>
      </c>
      <c r="G279" s="193">
        <v>0</v>
      </c>
      <c r="H279" s="193">
        <v>7</v>
      </c>
      <c r="I279" s="193">
        <v>0</v>
      </c>
      <c r="J279" s="321" t="str">
        <f t="shared" si="22"/>
        <v>3419/5169/2086/0/0/0/0/7/0</v>
      </c>
      <c r="K279" s="321" t="s">
        <v>422</v>
      </c>
      <c r="L279" s="201">
        <v>13500</v>
      </c>
      <c r="M279" s="201">
        <v>14900</v>
      </c>
      <c r="N279" s="201">
        <v>66385</v>
      </c>
      <c r="O279" s="201">
        <v>8000</v>
      </c>
      <c r="P279" s="201"/>
      <c r="Q279" s="201">
        <v>50000</v>
      </c>
      <c r="R279" s="201">
        <v>50000</v>
      </c>
      <c r="S279" s="201">
        <v>0</v>
      </c>
      <c r="T279" s="201"/>
      <c r="U279" s="403"/>
      <c r="V279" s="351"/>
    </row>
    <row r="280" spans="1:22" outlineLevel="2" x14ac:dyDescent="0.25">
      <c r="A280" s="193">
        <v>3412</v>
      </c>
      <c r="B280" s="193">
        <v>5171</v>
      </c>
      <c r="C280" s="193">
        <v>2086</v>
      </c>
      <c r="D280" s="193">
        <v>0</v>
      </c>
      <c r="E280" s="193">
        <v>0</v>
      </c>
      <c r="F280" s="194">
        <v>0</v>
      </c>
      <c r="G280" s="193">
        <v>0</v>
      </c>
      <c r="H280" s="193">
        <v>0</v>
      </c>
      <c r="I280" s="193">
        <v>0</v>
      </c>
      <c r="J280" s="321" t="str">
        <f t="shared" si="22"/>
        <v>3412/5171/2086/0/0/0/0/0/0</v>
      </c>
      <c r="K280" s="321" t="s">
        <v>4381</v>
      </c>
      <c r="L280" s="201"/>
      <c r="M280" s="201"/>
      <c r="N280" s="201"/>
      <c r="O280" s="201"/>
      <c r="P280" s="201">
        <v>45481</v>
      </c>
      <c r="Q280" s="201">
        <v>357849</v>
      </c>
      <c r="R280" s="201">
        <v>449565.18</v>
      </c>
      <c r="S280" s="201">
        <v>400000</v>
      </c>
      <c r="T280" s="201"/>
      <c r="U280" s="403"/>
      <c r="V280" s="351"/>
    </row>
    <row r="281" spans="1:22" outlineLevel="2" x14ac:dyDescent="0.25">
      <c r="A281" s="209">
        <v>3419</v>
      </c>
      <c r="B281" s="209">
        <v>5901</v>
      </c>
      <c r="C281" s="209">
        <v>2086</v>
      </c>
      <c r="D281" s="209">
        <v>0</v>
      </c>
      <c r="E281" s="209">
        <v>0</v>
      </c>
      <c r="F281" s="210">
        <v>0</v>
      </c>
      <c r="G281" s="209">
        <v>0</v>
      </c>
      <c r="H281" s="209">
        <v>8</v>
      </c>
      <c r="I281" s="209">
        <v>0</v>
      </c>
      <c r="J281" s="324" t="str">
        <f t="shared" si="22"/>
        <v>3419/5901/2086/0/0/0/0/8/0</v>
      </c>
      <c r="K281" s="324" t="s">
        <v>436</v>
      </c>
      <c r="L281" s="206">
        <v>2300000</v>
      </c>
      <c r="M281" s="206">
        <v>2315000</v>
      </c>
      <c r="N281" s="206">
        <v>3690000</v>
      </c>
      <c r="O281" s="206">
        <v>3690000</v>
      </c>
      <c r="P281" s="206">
        <v>3690000</v>
      </c>
      <c r="Q281" s="206">
        <v>3690000</v>
      </c>
      <c r="R281" s="206">
        <v>3690000</v>
      </c>
      <c r="S281" s="206">
        <v>4190000</v>
      </c>
      <c r="T281" s="482"/>
      <c r="U281" s="531" t="s">
        <v>5042</v>
      </c>
      <c r="V281" s="351"/>
    </row>
    <row r="282" spans="1:22" outlineLevel="2" x14ac:dyDescent="0.25">
      <c r="A282" s="193">
        <v>3412</v>
      </c>
      <c r="B282" s="193">
        <v>5137</v>
      </c>
      <c r="C282" s="193">
        <v>2086</v>
      </c>
      <c r="D282" s="193">
        <v>16432</v>
      </c>
      <c r="E282" s="193">
        <v>0</v>
      </c>
      <c r="F282" s="194">
        <v>0</v>
      </c>
      <c r="G282" s="193">
        <v>0</v>
      </c>
      <c r="H282" s="193">
        <v>0</v>
      </c>
      <c r="I282" s="193">
        <v>0</v>
      </c>
      <c r="J282" s="321" t="str">
        <f t="shared" si="22"/>
        <v>3412/5137/2086/16432/0/0/0/0/0</v>
      </c>
      <c r="K282" s="321" t="s">
        <v>557</v>
      </c>
      <c r="L282" s="201">
        <v>25113</v>
      </c>
      <c r="M282" s="201">
        <v>15553</v>
      </c>
      <c r="N282" s="201">
        <v>16870.099999999999</v>
      </c>
      <c r="O282" s="201">
        <v>1678</v>
      </c>
      <c r="P282" s="201">
        <v>8040.45</v>
      </c>
      <c r="Q282" s="201">
        <v>3000</v>
      </c>
      <c r="R282" s="201">
        <v>3000</v>
      </c>
      <c r="S282" s="201">
        <v>3000</v>
      </c>
      <c r="T282" s="201"/>
      <c r="U282" s="403"/>
      <c r="V282" s="351"/>
    </row>
    <row r="283" spans="1:22" outlineLevel="2" x14ac:dyDescent="0.25">
      <c r="A283" s="193">
        <v>3412</v>
      </c>
      <c r="B283" s="193">
        <v>5139</v>
      </c>
      <c r="C283" s="193">
        <v>2086</v>
      </c>
      <c r="D283" s="193">
        <v>16432</v>
      </c>
      <c r="E283" s="193">
        <v>0</v>
      </c>
      <c r="F283" s="194">
        <v>0</v>
      </c>
      <c r="G283" s="193">
        <v>0</v>
      </c>
      <c r="H283" s="193">
        <v>0</v>
      </c>
      <c r="I283" s="193">
        <v>0</v>
      </c>
      <c r="J283" s="321" t="str">
        <f t="shared" si="22"/>
        <v>3412/5139/2086/16432/0/0/0/0/0</v>
      </c>
      <c r="K283" s="321" t="s">
        <v>558</v>
      </c>
      <c r="L283" s="201">
        <v>145001.5</v>
      </c>
      <c r="M283" s="201">
        <f>128884.04+747</f>
        <v>129631.03999999999</v>
      </c>
      <c r="N283" s="201">
        <v>122972.24</v>
      </c>
      <c r="O283" s="201">
        <v>147505.54999999999</v>
      </c>
      <c r="P283" s="201">
        <v>186420.59</v>
      </c>
      <c r="Q283" s="201">
        <v>180000</v>
      </c>
      <c r="R283" s="201">
        <v>180000</v>
      </c>
      <c r="S283" s="201">
        <v>180000</v>
      </c>
      <c r="T283" s="201"/>
      <c r="U283" s="403"/>
      <c r="V283" s="351"/>
    </row>
    <row r="284" spans="1:22" outlineLevel="2" x14ac:dyDescent="0.25">
      <c r="A284" s="193">
        <v>3412</v>
      </c>
      <c r="B284" s="193">
        <v>5171</v>
      </c>
      <c r="C284" s="193">
        <v>2086</v>
      </c>
      <c r="D284" s="193">
        <v>16432</v>
      </c>
      <c r="E284" s="193">
        <v>0</v>
      </c>
      <c r="F284" s="194">
        <v>0</v>
      </c>
      <c r="G284" s="193">
        <v>0</v>
      </c>
      <c r="H284" s="193">
        <v>0</v>
      </c>
      <c r="I284" s="193">
        <v>0</v>
      </c>
      <c r="J284" s="321" t="str">
        <f t="shared" si="22"/>
        <v>3412/5171/2086/16432/0/0/0/0/0</v>
      </c>
      <c r="K284" s="321" t="s">
        <v>559</v>
      </c>
      <c r="L284" s="201">
        <f>129386.99+258522.78</f>
        <v>387909.77</v>
      </c>
      <c r="M284" s="201">
        <f>140918.26+531101.99</f>
        <v>672020.25</v>
      </c>
      <c r="N284" s="201">
        <v>220270.71</v>
      </c>
      <c r="O284" s="201">
        <v>98105.12</v>
      </c>
      <c r="P284" s="201">
        <v>28516.87</v>
      </c>
      <c r="Q284" s="201">
        <v>40000</v>
      </c>
      <c r="R284" s="201">
        <v>40000</v>
      </c>
      <c r="S284" s="201">
        <v>40000</v>
      </c>
      <c r="T284" s="201"/>
      <c r="U284" s="403"/>
      <c r="V284" s="351"/>
    </row>
    <row r="285" spans="1:22" outlineLevel="2" x14ac:dyDescent="0.25">
      <c r="A285" s="193">
        <v>3412</v>
      </c>
      <c r="B285" s="193">
        <v>5156</v>
      </c>
      <c r="C285" s="193">
        <v>2086</v>
      </c>
      <c r="D285" s="193">
        <v>16432</v>
      </c>
      <c r="E285" s="193">
        <v>0</v>
      </c>
      <c r="F285" s="194">
        <v>0</v>
      </c>
      <c r="G285" s="193">
        <v>0</v>
      </c>
      <c r="H285" s="193">
        <v>0</v>
      </c>
      <c r="I285" s="193">
        <v>0</v>
      </c>
      <c r="J285" s="321" t="str">
        <f t="shared" si="22"/>
        <v>3412/5156/2086/16432/0/0/0/0/0</v>
      </c>
      <c r="K285" s="321" t="s">
        <v>560</v>
      </c>
      <c r="L285" s="201">
        <v>19037</v>
      </c>
      <c r="M285" s="201">
        <f>19013+52539.53+2420</f>
        <v>73972.53</v>
      </c>
      <c r="N285" s="201">
        <v>17010</v>
      </c>
      <c r="O285" s="201">
        <v>20392</v>
      </c>
      <c r="P285" s="201">
        <v>22135</v>
      </c>
      <c r="Q285" s="201">
        <v>26000</v>
      </c>
      <c r="R285" s="201">
        <v>26000</v>
      </c>
      <c r="S285" s="201">
        <v>26000</v>
      </c>
      <c r="T285" s="201"/>
      <c r="U285" s="403"/>
      <c r="V285" s="351"/>
    </row>
    <row r="286" spans="1:22" s="59" customFormat="1" outlineLevel="2" x14ac:dyDescent="0.25">
      <c r="A286" s="194">
        <v>3412</v>
      </c>
      <c r="B286" s="194">
        <v>5164</v>
      </c>
      <c r="C286" s="193">
        <v>2086</v>
      </c>
      <c r="D286" s="187">
        <v>16432</v>
      </c>
      <c r="E286" s="193">
        <v>0</v>
      </c>
      <c r="F286" s="194">
        <v>0</v>
      </c>
      <c r="G286" s="193">
        <v>0</v>
      </c>
      <c r="H286" s="187">
        <v>0</v>
      </c>
      <c r="I286" s="187">
        <v>0</v>
      </c>
      <c r="J286" s="327" t="str">
        <f t="shared" si="22"/>
        <v>3412/5164/2086/16432/0/0/0/0/0</v>
      </c>
      <c r="K286" s="327" t="s">
        <v>4406</v>
      </c>
      <c r="L286" s="200"/>
      <c r="M286" s="200"/>
      <c r="N286" s="200"/>
      <c r="O286" s="200"/>
      <c r="P286" s="200">
        <v>3751</v>
      </c>
      <c r="Q286" s="200">
        <v>1700</v>
      </c>
      <c r="R286" s="200">
        <v>1700</v>
      </c>
      <c r="S286" s="200">
        <v>1700</v>
      </c>
      <c r="T286" s="200"/>
      <c r="U286" s="403"/>
      <c r="V286" s="351"/>
    </row>
    <row r="287" spans="1:22" s="59" customFormat="1" outlineLevel="2" x14ac:dyDescent="0.25">
      <c r="A287" s="193">
        <v>3412</v>
      </c>
      <c r="B287" s="193">
        <v>5169</v>
      </c>
      <c r="C287" s="193">
        <v>2086</v>
      </c>
      <c r="D287" s="193">
        <v>16432</v>
      </c>
      <c r="E287" s="193">
        <v>0</v>
      </c>
      <c r="F287" s="194">
        <v>0</v>
      </c>
      <c r="G287" s="193">
        <v>0</v>
      </c>
      <c r="H287" s="193">
        <v>0</v>
      </c>
      <c r="I287" s="193">
        <v>0</v>
      </c>
      <c r="J287" s="327" t="str">
        <f t="shared" si="22"/>
        <v>3412/5169/2086/16432/0/0/0/0/0</v>
      </c>
      <c r="K287" s="321" t="s">
        <v>561</v>
      </c>
      <c r="L287" s="201">
        <f>187819+54448.15</f>
        <v>242267.15</v>
      </c>
      <c r="M287" s="201">
        <f>196523.4+122335.2</f>
        <v>318858.59999999998</v>
      </c>
      <c r="N287" s="201">
        <v>135745.26999999999</v>
      </c>
      <c r="O287" s="201">
        <v>146536.56</v>
      </c>
      <c r="P287" s="201">
        <v>255687.72</v>
      </c>
      <c r="Q287" s="201">
        <v>270000</v>
      </c>
      <c r="R287" s="201">
        <v>270000</v>
      </c>
      <c r="S287" s="201">
        <v>270000</v>
      </c>
      <c r="T287" s="201"/>
      <c r="U287" s="403"/>
      <c r="V287" s="351"/>
    </row>
    <row r="288" spans="1:22" outlineLevel="2" x14ac:dyDescent="0.25">
      <c r="A288" s="209">
        <v>3419</v>
      </c>
      <c r="B288" s="209">
        <v>5222</v>
      </c>
      <c r="C288" s="209">
        <v>2086</v>
      </c>
      <c r="D288" s="209">
        <v>43573</v>
      </c>
      <c r="E288" s="209">
        <v>0</v>
      </c>
      <c r="F288" s="210">
        <v>0</v>
      </c>
      <c r="G288" s="209">
        <v>0</v>
      </c>
      <c r="H288" s="209">
        <v>0</v>
      </c>
      <c r="I288" s="209">
        <v>0</v>
      </c>
      <c r="J288" s="324" t="str">
        <f t="shared" si="22"/>
        <v>3419/5222/2086/43573/0/0/0/0/0</v>
      </c>
      <c r="K288" s="324" t="s">
        <v>3703</v>
      </c>
      <c r="L288" s="206">
        <v>385000</v>
      </c>
      <c r="M288" s="206">
        <v>385000</v>
      </c>
      <c r="N288" s="206">
        <v>350000</v>
      </c>
      <c r="O288" s="206"/>
      <c r="P288" s="206">
        <v>350000</v>
      </c>
      <c r="Q288" s="206">
        <v>350000</v>
      </c>
      <c r="R288" s="206">
        <v>350000</v>
      </c>
      <c r="S288" s="206">
        <v>350000</v>
      </c>
      <c r="T288" s="206"/>
      <c r="U288" s="531"/>
      <c r="V288" s="351"/>
    </row>
    <row r="289" spans="1:22" s="59" customFormat="1" outlineLevel="2" x14ac:dyDescent="0.25">
      <c r="A289" s="209">
        <v>3419</v>
      </c>
      <c r="B289" s="209">
        <v>5222</v>
      </c>
      <c r="C289" s="209">
        <v>2086</v>
      </c>
      <c r="D289" s="209">
        <v>43562</v>
      </c>
      <c r="E289" s="209">
        <v>0</v>
      </c>
      <c r="F289" s="210">
        <v>0</v>
      </c>
      <c r="G289" s="209">
        <v>0</v>
      </c>
      <c r="H289" s="209">
        <v>0</v>
      </c>
      <c r="I289" s="209">
        <v>0</v>
      </c>
      <c r="J289" s="324" t="str">
        <f t="shared" si="22"/>
        <v>3419/5222/2086/43562/0/0/0/0/0</v>
      </c>
      <c r="K289" s="324" t="s">
        <v>4927</v>
      </c>
      <c r="L289" s="206">
        <v>60000</v>
      </c>
      <c r="M289" s="206">
        <v>60000</v>
      </c>
      <c r="N289" s="206">
        <v>50000</v>
      </c>
      <c r="O289" s="206">
        <v>50000</v>
      </c>
      <c r="P289" s="206">
        <v>50000</v>
      </c>
      <c r="Q289" s="206">
        <v>50000</v>
      </c>
      <c r="R289" s="206">
        <v>50000</v>
      </c>
      <c r="S289" s="206">
        <v>80000</v>
      </c>
      <c r="T289" s="206">
        <f>113300-80000</f>
        <v>33300</v>
      </c>
      <c r="U289" s="531" t="s">
        <v>5145</v>
      </c>
      <c r="V289" s="351"/>
    </row>
    <row r="290" spans="1:22" ht="30" outlineLevel="2" x14ac:dyDescent="0.25">
      <c r="A290" s="209">
        <v>3419</v>
      </c>
      <c r="B290" s="209">
        <v>5222</v>
      </c>
      <c r="C290" s="209">
        <v>2086</v>
      </c>
      <c r="D290" s="209">
        <v>43565</v>
      </c>
      <c r="E290" s="209">
        <v>0</v>
      </c>
      <c r="F290" s="210">
        <v>0</v>
      </c>
      <c r="G290" s="209">
        <v>0</v>
      </c>
      <c r="H290" s="209">
        <v>0</v>
      </c>
      <c r="I290" s="209">
        <v>0</v>
      </c>
      <c r="J290" s="324" t="str">
        <f t="shared" si="22"/>
        <v>3419/5222/2086/43565/0/0/0/0/0</v>
      </c>
      <c r="K290" s="324" t="s">
        <v>438</v>
      </c>
      <c r="L290" s="206">
        <v>95000</v>
      </c>
      <c r="M290" s="206">
        <v>127000</v>
      </c>
      <c r="N290" s="206">
        <v>100000</v>
      </c>
      <c r="O290" s="206">
        <v>50000</v>
      </c>
      <c r="P290" s="206">
        <v>50000</v>
      </c>
      <c r="Q290" s="206">
        <v>50000</v>
      </c>
      <c r="R290" s="206">
        <v>50000</v>
      </c>
      <c r="S290" s="206">
        <f>80000+30000</f>
        <v>110000</v>
      </c>
      <c r="T290" s="206">
        <f>247000-80000-30000</f>
        <v>137000</v>
      </c>
      <c r="U290" s="531" t="s">
        <v>5146</v>
      </c>
      <c r="V290" s="351"/>
    </row>
    <row r="291" spans="1:22" outlineLevel="2" x14ac:dyDescent="0.25">
      <c r="A291" s="209">
        <v>3419</v>
      </c>
      <c r="B291" s="209">
        <v>5222</v>
      </c>
      <c r="C291" s="209">
        <v>2086</v>
      </c>
      <c r="D291" s="209">
        <v>43010</v>
      </c>
      <c r="E291" s="209">
        <v>0</v>
      </c>
      <c r="F291" s="210">
        <v>0</v>
      </c>
      <c r="G291" s="209">
        <v>0</v>
      </c>
      <c r="H291" s="209">
        <v>0</v>
      </c>
      <c r="I291" s="209">
        <v>0</v>
      </c>
      <c r="J291" s="324" t="str">
        <f t="shared" si="22"/>
        <v>3419/5222/2086/43010/0/0/0/0/0</v>
      </c>
      <c r="K291" s="324" t="s">
        <v>3288</v>
      </c>
      <c r="L291" s="206"/>
      <c r="M291" s="206"/>
      <c r="N291" s="206"/>
      <c r="O291" s="206"/>
      <c r="P291" s="206"/>
      <c r="Q291" s="206"/>
      <c r="R291" s="206"/>
      <c r="S291" s="206"/>
      <c r="T291" s="206">
        <v>150000</v>
      </c>
      <c r="U291" s="531" t="s">
        <v>5039</v>
      </c>
      <c r="V291" s="351"/>
    </row>
    <row r="292" spans="1:22" s="59" customFormat="1" outlineLevel="2" x14ac:dyDescent="0.25">
      <c r="A292" s="209">
        <v>3419</v>
      </c>
      <c r="B292" s="209">
        <v>5222</v>
      </c>
      <c r="C292" s="209">
        <v>2086</v>
      </c>
      <c r="D292" s="209">
        <v>43521</v>
      </c>
      <c r="E292" s="209">
        <v>0</v>
      </c>
      <c r="F292" s="210">
        <v>0</v>
      </c>
      <c r="G292" s="209">
        <v>0</v>
      </c>
      <c r="H292" s="209">
        <v>0</v>
      </c>
      <c r="I292" s="209">
        <v>0</v>
      </c>
      <c r="J292" s="324" t="str">
        <f t="shared" si="22"/>
        <v>3419/5222/2086/43521/0/0/0/0/0</v>
      </c>
      <c r="K292" s="324" t="s">
        <v>439</v>
      </c>
      <c r="L292" s="206">
        <v>6100000</v>
      </c>
      <c r="M292" s="206">
        <v>6000000</v>
      </c>
      <c r="N292" s="206">
        <v>6000000</v>
      </c>
      <c r="O292" s="206">
        <v>5502435</v>
      </c>
      <c r="P292" s="206">
        <v>6000000</v>
      </c>
      <c r="Q292" s="206">
        <v>6000000</v>
      </c>
      <c r="R292" s="206">
        <v>9000000</v>
      </c>
      <c r="S292" s="206">
        <v>6000000</v>
      </c>
      <c r="T292" s="206">
        <v>3000000</v>
      </c>
      <c r="U292" s="531" t="s">
        <v>5040</v>
      </c>
      <c r="V292" s="351"/>
    </row>
    <row r="293" spans="1:22" s="59" customFormat="1" outlineLevel="2" x14ac:dyDescent="0.25">
      <c r="A293" s="209">
        <v>3412</v>
      </c>
      <c r="B293" s="209">
        <v>5222</v>
      </c>
      <c r="C293" s="209">
        <v>2086</v>
      </c>
      <c r="D293" s="209">
        <v>16430</v>
      </c>
      <c r="E293" s="209">
        <v>0</v>
      </c>
      <c r="F293" s="210">
        <v>0</v>
      </c>
      <c r="G293" s="209">
        <v>0</v>
      </c>
      <c r="H293" s="209">
        <v>4</v>
      </c>
      <c r="I293" s="209">
        <v>0</v>
      </c>
      <c r="J293" s="324" t="str">
        <f t="shared" si="22"/>
        <v>3412/5222/2086/16430/0/0/0/4/0</v>
      </c>
      <c r="K293" s="324" t="s">
        <v>440</v>
      </c>
      <c r="L293" s="206">
        <v>613091</v>
      </c>
      <c r="M293" s="206">
        <v>600000</v>
      </c>
      <c r="N293" s="206">
        <v>600000</v>
      </c>
      <c r="O293" s="206">
        <v>600000</v>
      </c>
      <c r="P293" s="206">
        <v>740927</v>
      </c>
      <c r="Q293" s="206">
        <v>600000</v>
      </c>
      <c r="R293" s="206">
        <v>600000</v>
      </c>
      <c r="S293" s="206">
        <v>600000</v>
      </c>
      <c r="T293" s="206">
        <v>250000</v>
      </c>
      <c r="U293" s="531"/>
      <c r="V293" s="351"/>
    </row>
    <row r="294" spans="1:22" s="59" customFormat="1" outlineLevel="2" x14ac:dyDescent="0.25">
      <c r="A294" s="209">
        <v>3419</v>
      </c>
      <c r="B294" s="209">
        <v>5222</v>
      </c>
      <c r="C294" s="209">
        <v>2086</v>
      </c>
      <c r="D294" s="209">
        <v>43563</v>
      </c>
      <c r="E294" s="209">
        <v>0</v>
      </c>
      <c r="F294" s="210">
        <v>0</v>
      </c>
      <c r="G294" s="209">
        <v>0</v>
      </c>
      <c r="H294" s="209">
        <v>0</v>
      </c>
      <c r="I294" s="209">
        <v>0</v>
      </c>
      <c r="J294" s="324" t="str">
        <f t="shared" si="22"/>
        <v>3419/5222/2086/43563/0/0/0/0/0</v>
      </c>
      <c r="K294" s="324" t="s">
        <v>441</v>
      </c>
      <c r="L294" s="206">
        <v>0</v>
      </c>
      <c r="M294" s="206">
        <v>50000</v>
      </c>
      <c r="N294" s="206">
        <v>50000</v>
      </c>
      <c r="O294" s="206">
        <v>50000</v>
      </c>
      <c r="P294" s="206">
        <v>50000</v>
      </c>
      <c r="Q294" s="206">
        <v>50000</v>
      </c>
      <c r="R294" s="206">
        <v>50000</v>
      </c>
      <c r="S294" s="206">
        <v>80000</v>
      </c>
      <c r="T294" s="206"/>
      <c r="U294" s="531" t="s">
        <v>5147</v>
      </c>
      <c r="V294" s="351"/>
    </row>
    <row r="295" spans="1:22" s="59" customFormat="1" outlineLevel="2" x14ac:dyDescent="0.25">
      <c r="A295" s="193">
        <v>3412</v>
      </c>
      <c r="B295" s="193">
        <v>5171</v>
      </c>
      <c r="C295" s="193">
        <v>2086</v>
      </c>
      <c r="D295" s="193">
        <v>16430</v>
      </c>
      <c r="E295" s="193">
        <v>0</v>
      </c>
      <c r="F295" s="194">
        <v>0</v>
      </c>
      <c r="G295" s="193">
        <v>0</v>
      </c>
      <c r="H295" s="193">
        <v>0</v>
      </c>
      <c r="I295" s="193">
        <v>0</v>
      </c>
      <c r="J295" s="321" t="str">
        <f t="shared" si="22"/>
        <v>3412/5171/2086/16430/0/0/0/0/0</v>
      </c>
      <c r="K295" s="321" t="s">
        <v>4758</v>
      </c>
      <c r="L295" s="201"/>
      <c r="M295" s="201"/>
      <c r="N295" s="201"/>
      <c r="O295" s="201"/>
      <c r="P295" s="201">
        <v>117965</v>
      </c>
      <c r="Q295" s="201"/>
      <c r="R295" s="201">
        <v>467500</v>
      </c>
      <c r="S295" s="201">
        <v>820000</v>
      </c>
      <c r="T295" s="201"/>
      <c r="U295" s="403" t="s">
        <v>4917</v>
      </c>
      <c r="V295" s="351"/>
    </row>
    <row r="296" spans="1:22" s="59" customFormat="1" outlineLevel="2" x14ac:dyDescent="0.25">
      <c r="A296" s="187">
        <v>3419</v>
      </c>
      <c r="B296" s="187">
        <v>5901</v>
      </c>
      <c r="C296" s="194">
        <v>2086</v>
      </c>
      <c r="D296" s="187">
        <v>0</v>
      </c>
      <c r="E296" s="187">
        <v>0</v>
      </c>
      <c r="F296" s="187">
        <v>0</v>
      </c>
      <c r="G296" s="187">
        <v>0</v>
      </c>
      <c r="H296" s="187">
        <v>9</v>
      </c>
      <c r="I296" s="187">
        <v>0</v>
      </c>
      <c r="J296" s="327" t="str">
        <f t="shared" si="22"/>
        <v>3419/5901/2086/0/0/0/0/9/0</v>
      </c>
      <c r="K296" s="327" t="s">
        <v>4919</v>
      </c>
      <c r="L296" s="200"/>
      <c r="M296" s="200"/>
      <c r="N296" s="200"/>
      <c r="O296" s="200"/>
      <c r="P296" s="200"/>
      <c r="Q296" s="200"/>
      <c r="R296" s="200"/>
      <c r="S296" s="200">
        <f>150000+170000</f>
        <v>320000</v>
      </c>
      <c r="T296" s="200">
        <f>190000-170000</f>
        <v>20000</v>
      </c>
      <c r="U296" s="403" t="s">
        <v>5097</v>
      </c>
      <c r="V296" s="351"/>
    </row>
    <row r="297" spans="1:22" s="59" customFormat="1" outlineLevel="2" x14ac:dyDescent="0.25">
      <c r="A297" s="193">
        <v>3412</v>
      </c>
      <c r="B297" s="193">
        <v>5137</v>
      </c>
      <c r="C297" s="193">
        <v>2086</v>
      </c>
      <c r="D297" s="193">
        <v>16420</v>
      </c>
      <c r="E297" s="193">
        <v>0</v>
      </c>
      <c r="F297" s="194">
        <v>0</v>
      </c>
      <c r="G297" s="193">
        <v>0</v>
      </c>
      <c r="H297" s="193">
        <v>0</v>
      </c>
      <c r="I297" s="193">
        <v>0</v>
      </c>
      <c r="J297" s="321" t="str">
        <f t="shared" ref="J297:J302" si="23">CONCATENATE(A297,"/",B297,"/",C297,"/",D297,"/",E297,"/",F297,"/",G297,"/",H297,"/",I297)</f>
        <v>3412/5137/2086/16420/0/0/0/0/0</v>
      </c>
      <c r="K297" s="321" t="s">
        <v>570</v>
      </c>
      <c r="L297" s="201">
        <v>13075</v>
      </c>
      <c r="M297" s="201">
        <v>66046.5</v>
      </c>
      <c r="N297" s="201">
        <v>993.51</v>
      </c>
      <c r="O297" s="201">
        <v>2599</v>
      </c>
      <c r="P297" s="201"/>
      <c r="Q297" s="201">
        <v>5000</v>
      </c>
      <c r="R297" s="201">
        <v>5000</v>
      </c>
      <c r="S297" s="201">
        <v>5000</v>
      </c>
      <c r="T297" s="201"/>
      <c r="U297" s="403"/>
      <c r="V297" s="351"/>
    </row>
    <row r="298" spans="1:22" s="59" customFormat="1" outlineLevel="2" x14ac:dyDescent="0.25">
      <c r="A298" s="193">
        <v>3412</v>
      </c>
      <c r="B298" s="193">
        <v>5139</v>
      </c>
      <c r="C298" s="193">
        <v>2086</v>
      </c>
      <c r="D298" s="193">
        <v>16420</v>
      </c>
      <c r="E298" s="193">
        <v>0</v>
      </c>
      <c r="F298" s="194">
        <v>0</v>
      </c>
      <c r="G298" s="193">
        <v>0</v>
      </c>
      <c r="H298" s="193">
        <v>0</v>
      </c>
      <c r="I298" s="193">
        <v>0</v>
      </c>
      <c r="J298" s="321" t="str">
        <f t="shared" si="23"/>
        <v>3412/5139/2086/16420/0/0/0/0/0</v>
      </c>
      <c r="K298" s="321" t="s">
        <v>571</v>
      </c>
      <c r="L298" s="201">
        <v>98144.3</v>
      </c>
      <c r="M298" s="201">
        <v>53675.1</v>
      </c>
      <c r="N298" s="201">
        <v>89098.01</v>
      </c>
      <c r="O298" s="201">
        <v>57237.68</v>
      </c>
      <c r="P298" s="201">
        <v>78700.929999999993</v>
      </c>
      <c r="Q298" s="201">
        <v>70000</v>
      </c>
      <c r="R298" s="201">
        <v>70000</v>
      </c>
      <c r="S298" s="201">
        <v>70000</v>
      </c>
      <c r="T298" s="201"/>
      <c r="U298" s="403"/>
      <c r="V298" s="351"/>
    </row>
    <row r="299" spans="1:22" s="59" customFormat="1" outlineLevel="2" x14ac:dyDescent="0.25">
      <c r="A299" s="193">
        <v>3412</v>
      </c>
      <c r="B299" s="193">
        <v>5171</v>
      </c>
      <c r="C299" s="193">
        <v>2086</v>
      </c>
      <c r="D299" s="193">
        <v>16420</v>
      </c>
      <c r="E299" s="193">
        <v>0</v>
      </c>
      <c r="F299" s="194">
        <v>0</v>
      </c>
      <c r="G299" s="193">
        <v>0</v>
      </c>
      <c r="H299" s="193">
        <v>0</v>
      </c>
      <c r="I299" s="193">
        <v>0</v>
      </c>
      <c r="J299" s="321" t="str">
        <f t="shared" si="23"/>
        <v>3412/5171/2086/16420/0/0/0/0/0</v>
      </c>
      <c r="K299" s="321" t="s">
        <v>572</v>
      </c>
      <c r="L299" s="201">
        <v>3284503.16</v>
      </c>
      <c r="M299" s="201">
        <v>1414201.72</v>
      </c>
      <c r="N299" s="201">
        <v>844172.29</v>
      </c>
      <c r="O299" s="201">
        <v>207318.12</v>
      </c>
      <c r="P299" s="201">
        <v>959566.87</v>
      </c>
      <c r="Q299" s="201">
        <v>400000</v>
      </c>
      <c r="R299" s="201">
        <v>400000</v>
      </c>
      <c r="S299" s="201">
        <v>800000</v>
      </c>
      <c r="T299" s="201"/>
      <c r="U299" s="403" t="s">
        <v>4916</v>
      </c>
      <c r="V299" s="351"/>
    </row>
    <row r="300" spans="1:22" ht="75" outlineLevel="2" x14ac:dyDescent="0.25">
      <c r="A300" s="193">
        <v>3412</v>
      </c>
      <c r="B300" s="193">
        <v>5169</v>
      </c>
      <c r="C300" s="193">
        <v>2086</v>
      </c>
      <c r="D300" s="193">
        <v>16420</v>
      </c>
      <c r="E300" s="193">
        <v>0</v>
      </c>
      <c r="F300" s="194">
        <v>0</v>
      </c>
      <c r="G300" s="193">
        <v>0</v>
      </c>
      <c r="H300" s="193">
        <v>0</v>
      </c>
      <c r="I300" s="193">
        <v>0</v>
      </c>
      <c r="J300" s="321" t="str">
        <f t="shared" si="23"/>
        <v>3412/5169/2086/16420/0/0/0/0/0</v>
      </c>
      <c r="K300" s="321" t="s">
        <v>573</v>
      </c>
      <c r="L300" s="201">
        <v>2855815.08</v>
      </c>
      <c r="M300" s="201">
        <f>3020562.75+37737.11</f>
        <v>3058299.86</v>
      </c>
      <c r="N300" s="201">
        <v>3029617.96</v>
      </c>
      <c r="O300" s="201">
        <v>3128514.55</v>
      </c>
      <c r="P300" s="201">
        <v>3081476.14</v>
      </c>
      <c r="Q300" s="201">
        <v>3077000</v>
      </c>
      <c r="R300" s="201">
        <v>3077000</v>
      </c>
      <c r="S300" s="201">
        <v>3960000</v>
      </c>
      <c r="T300" s="201"/>
      <c r="U300" s="403" t="s">
        <v>5043</v>
      </c>
      <c r="V300" s="351"/>
    </row>
    <row r="301" spans="1:22" outlineLevel="2" x14ac:dyDescent="0.25">
      <c r="A301" s="193">
        <v>3412</v>
      </c>
      <c r="B301" s="193">
        <v>5162</v>
      </c>
      <c r="C301" s="193">
        <v>2086</v>
      </c>
      <c r="D301" s="193">
        <v>16420</v>
      </c>
      <c r="E301" s="193">
        <v>0</v>
      </c>
      <c r="F301" s="194">
        <v>0</v>
      </c>
      <c r="G301" s="193">
        <v>0</v>
      </c>
      <c r="H301" s="193">
        <v>0</v>
      </c>
      <c r="I301" s="193">
        <v>0</v>
      </c>
      <c r="J301" s="321" t="str">
        <f t="shared" si="23"/>
        <v>3412/5162/2086/16420/0/0/0/0/0</v>
      </c>
      <c r="K301" s="321" t="s">
        <v>574</v>
      </c>
      <c r="L301" s="201">
        <v>18353.32</v>
      </c>
      <c r="M301" s="201">
        <v>18606.599999999999</v>
      </c>
      <c r="N301" s="201">
        <v>18346.3</v>
      </c>
      <c r="O301" s="201">
        <v>18242.810000000001</v>
      </c>
      <c r="P301" s="201">
        <v>18789.37</v>
      </c>
      <c r="Q301" s="201">
        <v>26000</v>
      </c>
      <c r="R301" s="201">
        <v>26000</v>
      </c>
      <c r="S301" s="201">
        <v>26000</v>
      </c>
      <c r="T301" s="201"/>
      <c r="U301" s="403" t="s">
        <v>4909</v>
      </c>
      <c r="V301" s="351"/>
    </row>
    <row r="302" spans="1:22" outlineLevel="2" x14ac:dyDescent="0.25">
      <c r="A302" s="187">
        <v>3412</v>
      </c>
      <c r="B302" s="187">
        <v>5123</v>
      </c>
      <c r="C302" s="193">
        <v>2086</v>
      </c>
      <c r="D302" s="187">
        <v>16420</v>
      </c>
      <c r="E302" s="187">
        <v>0</v>
      </c>
      <c r="F302" s="187">
        <v>0</v>
      </c>
      <c r="G302" s="187">
        <v>0</v>
      </c>
      <c r="H302" s="187">
        <v>0</v>
      </c>
      <c r="I302" s="187">
        <v>0</v>
      </c>
      <c r="J302" s="327" t="str">
        <f t="shared" si="23"/>
        <v>3412/5123/2086/16420/0/0/0/0/0</v>
      </c>
      <c r="K302" s="327" t="s">
        <v>3747</v>
      </c>
      <c r="L302" s="200"/>
      <c r="M302" s="200"/>
      <c r="N302" s="200"/>
      <c r="O302" s="200">
        <v>16346.37</v>
      </c>
      <c r="P302" s="200">
        <v>18555.349999999999</v>
      </c>
      <c r="Q302" s="200">
        <v>50000</v>
      </c>
      <c r="R302" s="200">
        <v>50000</v>
      </c>
      <c r="S302" s="200"/>
      <c r="T302" s="200"/>
      <c r="U302" s="403"/>
      <c r="V302" s="351"/>
    </row>
    <row r="303" spans="1:22" outlineLevel="1" x14ac:dyDescent="0.25">
      <c r="A303" s="492"/>
      <c r="B303" s="492"/>
      <c r="C303" s="499" t="s">
        <v>4667</v>
      </c>
      <c r="D303" s="492"/>
      <c r="E303" s="492"/>
      <c r="F303" s="492"/>
      <c r="G303" s="492"/>
      <c r="H303" s="492"/>
      <c r="I303" s="492"/>
      <c r="J303" s="493">
        <v>2086</v>
      </c>
      <c r="K303" s="493" t="str">
        <f>VLOOKUP(J303,orJ_správce_telefon_mail!A:B,2,0)</f>
        <v xml:space="preserve">Odbor projektového řízení a sportu - Oddělní sportu - Ing. Ovčačík </v>
      </c>
      <c r="L303" s="494">
        <f t="shared" ref="L303:T303" si="24">SUBTOTAL(9,L244:L302)</f>
        <v>24156332.979999997</v>
      </c>
      <c r="M303" s="494">
        <f t="shared" si="24"/>
        <v>21016748.149999999</v>
      </c>
      <c r="N303" s="494">
        <f t="shared" si="24"/>
        <v>20408074.540000003</v>
      </c>
      <c r="O303" s="494">
        <f t="shared" si="24"/>
        <v>18528903.779999997</v>
      </c>
      <c r="P303" s="494">
        <f t="shared" si="24"/>
        <v>21090304.380000003</v>
      </c>
      <c r="Q303" s="494">
        <f t="shared" si="24"/>
        <v>21840770</v>
      </c>
      <c r="R303" s="494">
        <f t="shared" si="24"/>
        <v>25419751</v>
      </c>
      <c r="S303" s="494">
        <f t="shared" si="24"/>
        <v>27016420</v>
      </c>
      <c r="T303" s="494">
        <f t="shared" si="24"/>
        <v>4594300</v>
      </c>
      <c r="U303" s="541"/>
    </row>
    <row r="304" spans="1:22" outlineLevel="2" x14ac:dyDescent="0.25">
      <c r="A304" s="194">
        <v>6399</v>
      </c>
      <c r="B304" s="194">
        <v>5365</v>
      </c>
      <c r="C304" s="194">
        <v>2090</v>
      </c>
      <c r="D304" s="194">
        <v>0</v>
      </c>
      <c r="E304" s="194">
        <v>0</v>
      </c>
      <c r="F304" s="194">
        <v>0</v>
      </c>
      <c r="G304" s="194">
        <v>0</v>
      </c>
      <c r="H304" s="194">
        <v>0</v>
      </c>
      <c r="I304" s="194">
        <v>0</v>
      </c>
      <c r="J304" s="320" t="str">
        <f t="shared" ref="J304:J309" si="25">CONCATENATE(A304,"/",B304,"/",C304,"/",D304,"/",E304,"/",F304,"/",G304,"/",H304,"/",I304)</f>
        <v>6399/5365/2090/0/0/0/0/0/0</v>
      </c>
      <c r="K304" s="320" t="s">
        <v>62</v>
      </c>
      <c r="L304" s="201" t="s">
        <v>3810</v>
      </c>
      <c r="M304" s="201" t="s">
        <v>3805</v>
      </c>
      <c r="N304" s="201" t="s">
        <v>3806</v>
      </c>
      <c r="O304" s="201" t="s">
        <v>4431</v>
      </c>
      <c r="P304" s="201" t="s">
        <v>4693</v>
      </c>
      <c r="Q304" s="201"/>
      <c r="R304" s="201" t="s">
        <v>4694</v>
      </c>
      <c r="S304" s="201"/>
      <c r="T304" s="201"/>
      <c r="U304" s="403"/>
    </row>
    <row r="305" spans="1:21" outlineLevel="2" x14ac:dyDescent="0.25">
      <c r="A305" s="194">
        <v>6399</v>
      </c>
      <c r="B305" s="194">
        <v>5362</v>
      </c>
      <c r="C305" s="194">
        <v>2090</v>
      </c>
      <c r="D305" s="194">
        <v>0</v>
      </c>
      <c r="E305" s="194">
        <v>0</v>
      </c>
      <c r="F305" s="194">
        <v>0</v>
      </c>
      <c r="G305" s="194">
        <v>0</v>
      </c>
      <c r="H305" s="194">
        <v>4</v>
      </c>
      <c r="I305" s="194">
        <v>0</v>
      </c>
      <c r="J305" s="320" t="str">
        <f t="shared" si="25"/>
        <v>6399/5362/2090/0/0/0/0/4/0</v>
      </c>
      <c r="K305" s="320" t="s">
        <v>258</v>
      </c>
      <c r="L305" s="201">
        <f>-2003347-94500</f>
        <v>-2097847</v>
      </c>
      <c r="M305" s="201">
        <v>-1435209.63</v>
      </c>
      <c r="N305" s="201">
        <v>-5573455</v>
      </c>
      <c r="O305" s="201">
        <v>2311417</v>
      </c>
      <c r="P305" s="201">
        <v>6601460</v>
      </c>
      <c r="Q305" s="201">
        <v>5000000</v>
      </c>
      <c r="R305" s="201">
        <v>4994824.67</v>
      </c>
      <c r="S305" s="201">
        <v>8200000</v>
      </c>
      <c r="T305" s="201"/>
      <c r="U305" s="403"/>
    </row>
    <row r="306" spans="1:21" outlineLevel="2" x14ac:dyDescent="0.25">
      <c r="A306" s="194">
        <v>6310</v>
      </c>
      <c r="B306" s="194">
        <v>5163</v>
      </c>
      <c r="C306" s="194">
        <v>2090</v>
      </c>
      <c r="D306" s="194">
        <v>0</v>
      </c>
      <c r="E306" s="194">
        <v>0</v>
      </c>
      <c r="F306" s="194">
        <v>0</v>
      </c>
      <c r="G306" s="194">
        <v>0</v>
      </c>
      <c r="H306" s="194">
        <v>0</v>
      </c>
      <c r="I306" s="194">
        <v>0</v>
      </c>
      <c r="J306" s="320" t="str">
        <f t="shared" si="25"/>
        <v>6310/5163/2090/0/0/0/0/0/0</v>
      </c>
      <c r="K306" s="320" t="s">
        <v>3693</v>
      </c>
      <c r="L306" s="201">
        <v>567119.03</v>
      </c>
      <c r="M306" s="201">
        <v>656336.39</v>
      </c>
      <c r="N306" s="201">
        <v>737825.63</v>
      </c>
      <c r="O306" s="201">
        <v>789531.35999999987</v>
      </c>
      <c r="P306" s="201">
        <v>642398.89</v>
      </c>
      <c r="Q306" s="201">
        <v>800000</v>
      </c>
      <c r="R306" s="201">
        <v>804935.33</v>
      </c>
      <c r="S306" s="201">
        <v>900000</v>
      </c>
      <c r="T306" s="201"/>
      <c r="U306" s="403"/>
    </row>
    <row r="307" spans="1:21" outlineLevel="2" x14ac:dyDescent="0.25">
      <c r="A307" s="193">
        <v>6310</v>
      </c>
      <c r="B307" s="193">
        <v>5141</v>
      </c>
      <c r="C307" s="193">
        <v>2090</v>
      </c>
      <c r="D307" s="193">
        <v>988105</v>
      </c>
      <c r="E307" s="193">
        <v>0</v>
      </c>
      <c r="F307" s="194">
        <v>0</v>
      </c>
      <c r="G307" s="193">
        <v>0</v>
      </c>
      <c r="H307" s="193">
        <v>0</v>
      </c>
      <c r="I307" s="193">
        <v>0</v>
      </c>
      <c r="J307" s="321" t="str">
        <f t="shared" si="25"/>
        <v>6310/5141/2090/988105/0/0/0/0/0</v>
      </c>
      <c r="K307" s="321" t="s">
        <v>293</v>
      </c>
      <c r="L307" s="201">
        <v>0</v>
      </c>
      <c r="M307" s="201"/>
      <c r="N307" s="201"/>
      <c r="O307" s="201"/>
      <c r="P307" s="201"/>
      <c r="Q307" s="201">
        <v>200000</v>
      </c>
      <c r="R307" s="201">
        <v>200000</v>
      </c>
      <c r="S307" s="201"/>
      <c r="T307" s="201"/>
      <c r="U307" s="403"/>
    </row>
    <row r="308" spans="1:21" outlineLevel="2" x14ac:dyDescent="0.25">
      <c r="A308" s="193">
        <v>6310</v>
      </c>
      <c r="B308" s="193">
        <v>5141</v>
      </c>
      <c r="C308" s="193">
        <v>2090</v>
      </c>
      <c r="D308" s="193">
        <v>988205</v>
      </c>
      <c r="E308" s="193">
        <v>0</v>
      </c>
      <c r="F308" s="194">
        <v>0</v>
      </c>
      <c r="G308" s="193">
        <v>0</v>
      </c>
      <c r="H308" s="193">
        <v>0</v>
      </c>
      <c r="I308" s="193">
        <v>0</v>
      </c>
      <c r="J308" s="321" t="str">
        <f t="shared" si="25"/>
        <v>6310/5141/2090/988205/0/0/0/0/0</v>
      </c>
      <c r="K308" s="321" t="s">
        <v>294</v>
      </c>
      <c r="L308" s="201">
        <v>216000</v>
      </c>
      <c r="M308" s="201">
        <v>199820</v>
      </c>
      <c r="N308" s="201"/>
      <c r="O308" s="201"/>
      <c r="P308" s="201"/>
      <c r="Q308" s="201">
        <v>200000</v>
      </c>
      <c r="R308" s="201">
        <v>200000</v>
      </c>
      <c r="S308" s="201">
        <v>200000</v>
      </c>
      <c r="T308" s="201"/>
      <c r="U308" s="403"/>
    </row>
    <row r="309" spans="1:21" outlineLevel="2" x14ac:dyDescent="0.25">
      <c r="A309" s="193">
        <v>0</v>
      </c>
      <c r="B309" s="194">
        <v>5000</v>
      </c>
      <c r="C309" s="193">
        <v>2090</v>
      </c>
      <c r="D309" s="193">
        <v>0</v>
      </c>
      <c r="E309" s="193">
        <v>0</v>
      </c>
      <c r="F309" s="194">
        <v>0</v>
      </c>
      <c r="G309" s="193">
        <v>0</v>
      </c>
      <c r="H309" s="193">
        <v>0</v>
      </c>
      <c r="I309" s="193">
        <v>0</v>
      </c>
      <c r="J309" s="321" t="str">
        <f t="shared" si="25"/>
        <v>0/5000/2090/0/0/0/0/0/0</v>
      </c>
      <c r="K309" s="321" t="s">
        <v>190</v>
      </c>
      <c r="L309" s="201">
        <v>3086</v>
      </c>
      <c r="M309" s="201">
        <v>10481.5</v>
      </c>
      <c r="N309" s="201"/>
      <c r="O309" s="201">
        <v>2664971</v>
      </c>
      <c r="P309" s="201">
        <v>500</v>
      </c>
      <c r="Q309" s="201"/>
      <c r="R309" s="201"/>
      <c r="S309" s="201"/>
      <c r="T309" s="201"/>
      <c r="U309" s="403"/>
    </row>
    <row r="310" spans="1:21" outlineLevel="1" x14ac:dyDescent="0.25">
      <c r="A310" s="491"/>
      <c r="B310" s="492"/>
      <c r="C310" s="499" t="s">
        <v>4668</v>
      </c>
      <c r="D310" s="491"/>
      <c r="E310" s="491"/>
      <c r="F310" s="492"/>
      <c r="G310" s="491"/>
      <c r="H310" s="491"/>
      <c r="I310" s="491"/>
      <c r="J310" s="493">
        <v>2090</v>
      </c>
      <c r="K310" s="493" t="str">
        <f>VLOOKUP(J310,orJ_správce_telefon_mail!A:B,2,0)</f>
        <v xml:space="preserve">Odbor ekonomický - Ing. Bulánková  </v>
      </c>
      <c r="L310" s="494">
        <f t="shared" ref="L310:T310" si="26">SUBTOTAL(9,L304:L309)</f>
        <v>-1311641.97</v>
      </c>
      <c r="M310" s="494">
        <f t="shared" si="26"/>
        <v>-568571.73999999987</v>
      </c>
      <c r="N310" s="494">
        <f t="shared" si="26"/>
        <v>-4835629.37</v>
      </c>
      <c r="O310" s="494">
        <f t="shared" si="26"/>
        <v>5765919.3599999994</v>
      </c>
      <c r="P310" s="494">
        <f t="shared" si="26"/>
        <v>7244358.8899999997</v>
      </c>
      <c r="Q310" s="494">
        <f t="shared" si="26"/>
        <v>6200000</v>
      </c>
      <c r="R310" s="494">
        <f t="shared" si="26"/>
        <v>6199760</v>
      </c>
      <c r="S310" s="494">
        <f t="shared" si="26"/>
        <v>9300000</v>
      </c>
      <c r="T310" s="494">
        <f t="shared" si="26"/>
        <v>0</v>
      </c>
      <c r="U310" s="541"/>
    </row>
    <row r="311" spans="1:21" ht="75" outlineLevel="2" x14ac:dyDescent="0.25">
      <c r="A311" s="193">
        <v>4349</v>
      </c>
      <c r="B311" s="193">
        <v>5011</v>
      </c>
      <c r="C311" s="193">
        <v>2100</v>
      </c>
      <c r="D311" s="193">
        <v>0</v>
      </c>
      <c r="E311" s="193">
        <v>0</v>
      </c>
      <c r="F311" s="194">
        <v>0</v>
      </c>
      <c r="G311" s="193">
        <v>0</v>
      </c>
      <c r="H311" s="193">
        <v>0</v>
      </c>
      <c r="I311" s="193">
        <v>0</v>
      </c>
      <c r="J311" s="321" t="str">
        <f>CONCATENATE(A311,"/",B311,"/",C311,"/",D311,"/",E311,"/",F311,"/",G311,"/",H311,"/",I311)</f>
        <v>4349/5011/2100/0/0/0/0/0/0</v>
      </c>
      <c r="K311" s="321" t="s">
        <v>3836</v>
      </c>
      <c r="L311" s="201">
        <v>1951265.3299999996</v>
      </c>
      <c r="M311" s="201">
        <v>1937630.27</v>
      </c>
      <c r="N311" s="201">
        <v>1973124.81</v>
      </c>
      <c r="O311" s="201">
        <v>930332</v>
      </c>
      <c r="P311" s="201">
        <v>754960</v>
      </c>
      <c r="Q311" s="201">
        <v>1496480</v>
      </c>
      <c r="R311" s="201">
        <v>1169488</v>
      </c>
      <c r="S311" s="458">
        <v>1178480</v>
      </c>
      <c r="T311" s="459"/>
      <c r="U311" s="546" t="s">
        <v>4821</v>
      </c>
    </row>
    <row r="312" spans="1:21" outlineLevel="2" x14ac:dyDescent="0.25">
      <c r="A312" s="449">
        <v>4349</v>
      </c>
      <c r="B312" s="449">
        <v>5011</v>
      </c>
      <c r="C312" s="449">
        <v>2100</v>
      </c>
      <c r="D312" s="449">
        <v>49032</v>
      </c>
      <c r="E312" s="449">
        <v>0</v>
      </c>
      <c r="F312" s="449">
        <v>13021</v>
      </c>
      <c r="G312" s="449">
        <v>1441</v>
      </c>
      <c r="H312" s="449">
        <v>42</v>
      </c>
      <c r="I312" s="449">
        <v>0</v>
      </c>
      <c r="J312" s="321" t="str">
        <f>CONCATENATE(A312,"/",B312,"/",C312,"/",D312,"/",E312,"/",F312,"/",G312,"/",H312,"/",I312)</f>
        <v>4349/5011/2100/49032/0/13021/1441/42/0</v>
      </c>
      <c r="K312" s="321" t="s">
        <v>4719</v>
      </c>
      <c r="L312" s="201"/>
      <c r="M312" s="201"/>
      <c r="N312" s="201"/>
      <c r="O312" s="201"/>
      <c r="P312" s="201"/>
      <c r="Q312" s="201"/>
      <c r="R312" s="201">
        <v>2626233</v>
      </c>
      <c r="S312" s="201">
        <v>197488</v>
      </c>
      <c r="T312" s="201"/>
      <c r="U312" s="403"/>
    </row>
    <row r="313" spans="1:21" outlineLevel="2" x14ac:dyDescent="0.25">
      <c r="A313" s="449">
        <v>4349</v>
      </c>
      <c r="B313" s="449">
        <v>5011</v>
      </c>
      <c r="C313" s="449">
        <v>2100</v>
      </c>
      <c r="D313" s="449">
        <v>49032</v>
      </c>
      <c r="E313" s="449">
        <v>0</v>
      </c>
      <c r="F313" s="449">
        <v>13021</v>
      </c>
      <c r="G313" s="449">
        <v>1445</v>
      </c>
      <c r="H313" s="449">
        <v>41</v>
      </c>
      <c r="I313" s="449">
        <v>0</v>
      </c>
      <c r="J313" s="321" t="s">
        <v>4828</v>
      </c>
      <c r="K313" s="321" t="s">
        <v>4829</v>
      </c>
      <c r="L313" s="201"/>
      <c r="M313" s="201"/>
      <c r="N313" s="201"/>
      <c r="O313" s="201"/>
      <c r="P313" s="201"/>
      <c r="Q313" s="201">
        <v>0</v>
      </c>
      <c r="R313" s="201"/>
      <c r="S313" s="460">
        <v>1142422</v>
      </c>
      <c r="T313" s="460"/>
      <c r="U313" s="535"/>
    </row>
    <row r="314" spans="1:21" outlineLevel="2" x14ac:dyDescent="0.25">
      <c r="A314" s="193">
        <v>4349</v>
      </c>
      <c r="B314" s="193">
        <v>5031</v>
      </c>
      <c r="C314" s="193">
        <v>2100</v>
      </c>
      <c r="D314" s="193">
        <v>49032</v>
      </c>
      <c r="E314" s="193">
        <v>0</v>
      </c>
      <c r="F314" s="194">
        <v>13021</v>
      </c>
      <c r="G314" s="193">
        <v>1445</v>
      </c>
      <c r="H314" s="193">
        <v>41</v>
      </c>
      <c r="I314" s="193">
        <v>0</v>
      </c>
      <c r="J314" s="321" t="s">
        <v>4839</v>
      </c>
      <c r="K314" s="321" t="s">
        <v>4829</v>
      </c>
      <c r="L314" s="201"/>
      <c r="M314" s="201"/>
      <c r="N314" s="201"/>
      <c r="O314" s="201"/>
      <c r="P314" s="201"/>
      <c r="Q314" s="201"/>
      <c r="R314" s="201"/>
      <c r="S314" s="201">
        <v>283321</v>
      </c>
      <c r="T314" s="201"/>
      <c r="U314" s="403"/>
    </row>
    <row r="315" spans="1:21" outlineLevel="2" x14ac:dyDescent="0.25">
      <c r="A315" s="193">
        <v>4349</v>
      </c>
      <c r="B315" s="193">
        <v>5032</v>
      </c>
      <c r="C315" s="193">
        <v>2100</v>
      </c>
      <c r="D315" s="193">
        <v>49032</v>
      </c>
      <c r="E315" s="193">
        <v>0</v>
      </c>
      <c r="F315" s="194">
        <v>13021</v>
      </c>
      <c r="G315" s="193">
        <v>1445</v>
      </c>
      <c r="H315" s="193">
        <v>41</v>
      </c>
      <c r="I315" s="193">
        <v>0</v>
      </c>
      <c r="J315" s="321" t="s">
        <v>4846</v>
      </c>
      <c r="K315" s="321" t="s">
        <v>4829</v>
      </c>
      <c r="L315" s="201"/>
      <c r="M315" s="201"/>
      <c r="N315" s="201"/>
      <c r="O315" s="201"/>
      <c r="P315" s="201"/>
      <c r="Q315" s="201"/>
      <c r="R315" s="201"/>
      <c r="S315" s="201">
        <v>102818</v>
      </c>
      <c r="T315" s="201"/>
      <c r="U315" s="403"/>
    </row>
    <row r="316" spans="1:21" outlineLevel="2" x14ac:dyDescent="0.25">
      <c r="A316" s="449">
        <v>4349</v>
      </c>
      <c r="B316" s="449">
        <v>5011</v>
      </c>
      <c r="C316" s="449">
        <v>2100</v>
      </c>
      <c r="D316" s="449">
        <v>49032</v>
      </c>
      <c r="E316" s="449">
        <v>0</v>
      </c>
      <c r="F316" s="449">
        <v>13021</v>
      </c>
      <c r="G316" s="449">
        <v>1445</v>
      </c>
      <c r="H316" s="449">
        <v>46</v>
      </c>
      <c r="I316" s="449">
        <v>0</v>
      </c>
      <c r="J316" s="321" t="s">
        <v>4830</v>
      </c>
      <c r="K316" s="321" t="s">
        <v>4831</v>
      </c>
      <c r="L316" s="201"/>
      <c r="M316" s="201"/>
      <c r="N316" s="201"/>
      <c r="O316" s="201"/>
      <c r="P316" s="201"/>
      <c r="Q316" s="201">
        <v>0</v>
      </c>
      <c r="R316" s="201"/>
      <c r="S316" s="460">
        <v>215719</v>
      </c>
      <c r="T316" s="460"/>
      <c r="U316" s="535"/>
    </row>
    <row r="317" spans="1:21" outlineLevel="2" x14ac:dyDescent="0.25">
      <c r="A317" s="193">
        <v>4349</v>
      </c>
      <c r="B317" s="193">
        <v>5032</v>
      </c>
      <c r="C317" s="193">
        <v>2100</v>
      </c>
      <c r="D317" s="193">
        <v>49032</v>
      </c>
      <c r="E317" s="193">
        <v>0</v>
      </c>
      <c r="F317" s="194">
        <v>13021</v>
      </c>
      <c r="G317" s="193">
        <v>1445</v>
      </c>
      <c r="H317" s="193">
        <v>46</v>
      </c>
      <c r="I317" s="193">
        <v>0</v>
      </c>
      <c r="J317" s="321" t="s">
        <v>4847</v>
      </c>
      <c r="K317" s="321" t="s">
        <v>4831</v>
      </c>
      <c r="L317" s="201"/>
      <c r="M317" s="201"/>
      <c r="N317" s="201"/>
      <c r="O317" s="201"/>
      <c r="P317" s="201"/>
      <c r="Q317" s="201"/>
      <c r="R317" s="201"/>
      <c r="S317" s="201">
        <v>19415</v>
      </c>
      <c r="T317" s="201"/>
      <c r="U317" s="403"/>
    </row>
    <row r="318" spans="1:21" outlineLevel="2" x14ac:dyDescent="0.25">
      <c r="A318" s="449">
        <v>4349</v>
      </c>
      <c r="B318" s="449">
        <v>5011</v>
      </c>
      <c r="C318" s="449">
        <v>2100</v>
      </c>
      <c r="D318" s="449">
        <v>49032</v>
      </c>
      <c r="E318" s="449">
        <v>0</v>
      </c>
      <c r="F318" s="449">
        <v>13021</v>
      </c>
      <c r="G318" s="449">
        <v>1441</v>
      </c>
      <c r="H318" s="449">
        <v>47</v>
      </c>
      <c r="I318" s="449">
        <v>0</v>
      </c>
      <c r="J318" s="321" t="s">
        <v>4826</v>
      </c>
      <c r="K318" s="321" t="s">
        <v>4827</v>
      </c>
      <c r="L318" s="201"/>
      <c r="M318" s="201"/>
      <c r="N318" s="201"/>
      <c r="O318" s="201"/>
      <c r="P318" s="201"/>
      <c r="Q318" s="201">
        <v>0</v>
      </c>
      <c r="R318" s="201"/>
      <c r="S318" s="460">
        <v>37291</v>
      </c>
      <c r="T318" s="460"/>
      <c r="U318" s="535"/>
    </row>
    <row r="319" spans="1:21" outlineLevel="2" x14ac:dyDescent="0.25">
      <c r="A319" s="193">
        <v>4349</v>
      </c>
      <c r="B319" s="193">
        <v>5031</v>
      </c>
      <c r="C319" s="193">
        <v>2100</v>
      </c>
      <c r="D319" s="193">
        <v>49032</v>
      </c>
      <c r="E319" s="193">
        <v>0</v>
      </c>
      <c r="F319" s="194">
        <v>13021</v>
      </c>
      <c r="G319" s="193">
        <v>1441</v>
      </c>
      <c r="H319" s="193">
        <v>42</v>
      </c>
      <c r="I319" s="193">
        <v>0</v>
      </c>
      <c r="J319" s="321" t="s">
        <v>4835</v>
      </c>
      <c r="K319" s="321" t="s">
        <v>4836</v>
      </c>
      <c r="L319" s="201"/>
      <c r="M319" s="201"/>
      <c r="N319" s="201"/>
      <c r="O319" s="201"/>
      <c r="P319" s="201"/>
      <c r="Q319" s="201"/>
      <c r="R319" s="201"/>
      <c r="S319" s="201">
        <v>48977</v>
      </c>
      <c r="T319" s="201"/>
      <c r="U319" s="403"/>
    </row>
    <row r="320" spans="1:21" outlineLevel="2" x14ac:dyDescent="0.25">
      <c r="A320" s="193">
        <v>4349</v>
      </c>
      <c r="B320" s="193">
        <v>5032</v>
      </c>
      <c r="C320" s="193">
        <v>2100</v>
      </c>
      <c r="D320" s="193">
        <v>49032</v>
      </c>
      <c r="E320" s="193">
        <v>0</v>
      </c>
      <c r="F320" s="194">
        <v>13021</v>
      </c>
      <c r="G320" s="193">
        <v>1441</v>
      </c>
      <c r="H320" s="193">
        <v>42</v>
      </c>
      <c r="I320" s="193">
        <v>0</v>
      </c>
      <c r="J320" s="321" t="s">
        <v>4844</v>
      </c>
      <c r="K320" s="321" t="s">
        <v>4836</v>
      </c>
      <c r="L320" s="201"/>
      <c r="M320" s="201"/>
      <c r="N320" s="201"/>
      <c r="O320" s="201"/>
      <c r="P320" s="201"/>
      <c r="Q320" s="201"/>
      <c r="R320" s="201"/>
      <c r="S320" s="201">
        <v>17774</v>
      </c>
      <c r="T320" s="201"/>
      <c r="U320" s="403"/>
    </row>
    <row r="321" spans="1:22" outlineLevel="2" x14ac:dyDescent="0.25">
      <c r="A321" s="193">
        <v>4349</v>
      </c>
      <c r="B321" s="193">
        <v>5031</v>
      </c>
      <c r="C321" s="193">
        <v>2100</v>
      </c>
      <c r="D321" s="193">
        <v>49032</v>
      </c>
      <c r="E321" s="193">
        <v>0</v>
      </c>
      <c r="F321" s="194">
        <v>13021</v>
      </c>
      <c r="G321" s="193">
        <v>1441</v>
      </c>
      <c r="H321" s="193">
        <v>47</v>
      </c>
      <c r="I321" s="193">
        <v>0</v>
      </c>
      <c r="J321" s="321" t="s">
        <v>4837</v>
      </c>
      <c r="K321" s="321" t="s">
        <v>4838</v>
      </c>
      <c r="L321" s="201"/>
      <c r="M321" s="201"/>
      <c r="N321" s="201"/>
      <c r="O321" s="201"/>
      <c r="P321" s="201"/>
      <c r="Q321" s="201"/>
      <c r="R321" s="201"/>
      <c r="S321" s="201">
        <v>9248</v>
      </c>
      <c r="T321" s="201"/>
      <c r="U321" s="403"/>
    </row>
    <row r="322" spans="1:22" outlineLevel="2" x14ac:dyDescent="0.25">
      <c r="A322" s="193">
        <v>4349</v>
      </c>
      <c r="B322" s="193">
        <v>5032</v>
      </c>
      <c r="C322" s="193">
        <v>2100</v>
      </c>
      <c r="D322" s="193">
        <v>49032</v>
      </c>
      <c r="E322" s="193">
        <v>0</v>
      </c>
      <c r="F322" s="194">
        <v>13021</v>
      </c>
      <c r="G322" s="193">
        <v>1441</v>
      </c>
      <c r="H322" s="193">
        <v>47</v>
      </c>
      <c r="I322" s="193">
        <v>0</v>
      </c>
      <c r="J322" s="321" t="s">
        <v>4845</v>
      </c>
      <c r="K322" s="321" t="s">
        <v>4838</v>
      </c>
      <c r="L322" s="201"/>
      <c r="M322" s="201"/>
      <c r="N322" s="201"/>
      <c r="O322" s="201"/>
      <c r="P322" s="201"/>
      <c r="Q322" s="201"/>
      <c r="R322" s="201"/>
      <c r="S322" s="201">
        <v>3356</v>
      </c>
      <c r="T322" s="201"/>
      <c r="U322" s="403"/>
    </row>
    <row r="323" spans="1:22" outlineLevel="2" x14ac:dyDescent="0.25">
      <c r="A323" s="449">
        <v>4349</v>
      </c>
      <c r="B323" s="449">
        <v>5011</v>
      </c>
      <c r="C323" s="449">
        <v>2100</v>
      </c>
      <c r="D323" s="449">
        <v>49032</v>
      </c>
      <c r="E323" s="449">
        <v>0</v>
      </c>
      <c r="F323" s="449">
        <v>0</v>
      </c>
      <c r="G323" s="449">
        <v>1441</v>
      </c>
      <c r="H323" s="449">
        <v>48</v>
      </c>
      <c r="I323" s="449">
        <v>0</v>
      </c>
      <c r="J323" s="321" t="s">
        <v>4824</v>
      </c>
      <c r="K323" s="321" t="s">
        <v>4825</v>
      </c>
      <c r="L323" s="201"/>
      <c r="M323" s="201"/>
      <c r="N323" s="201"/>
      <c r="O323" s="201"/>
      <c r="P323" s="201"/>
      <c r="Q323" s="201">
        <v>0</v>
      </c>
      <c r="R323" s="201"/>
      <c r="S323" s="460">
        <v>28112</v>
      </c>
      <c r="T323" s="460"/>
      <c r="U323" s="535" t="s">
        <v>4832</v>
      </c>
    </row>
    <row r="324" spans="1:22" s="59" customFormat="1" outlineLevel="2" x14ac:dyDescent="0.25">
      <c r="A324" s="193">
        <v>4349</v>
      </c>
      <c r="B324" s="193">
        <v>5031</v>
      </c>
      <c r="C324" s="193">
        <v>2100</v>
      </c>
      <c r="D324" s="193">
        <v>49032</v>
      </c>
      <c r="E324" s="193">
        <v>0</v>
      </c>
      <c r="F324" s="194">
        <v>0</v>
      </c>
      <c r="G324" s="193">
        <v>1441</v>
      </c>
      <c r="H324" s="193">
        <v>48</v>
      </c>
      <c r="I324" s="193">
        <v>0</v>
      </c>
      <c r="J324" s="321" t="s">
        <v>4834</v>
      </c>
      <c r="K324" s="321" t="s">
        <v>4825</v>
      </c>
      <c r="L324" s="201"/>
      <c r="M324" s="201"/>
      <c r="N324" s="201"/>
      <c r="O324" s="201"/>
      <c r="P324" s="201"/>
      <c r="Q324" s="201"/>
      <c r="R324" s="201"/>
      <c r="S324" s="201">
        <v>6972</v>
      </c>
      <c r="T324" s="201"/>
      <c r="U324" s="403" t="s">
        <v>4832</v>
      </c>
      <c r="V324" s="351"/>
    </row>
    <row r="325" spans="1:22" s="59" customFormat="1" outlineLevel="2" x14ac:dyDescent="0.25">
      <c r="A325" s="193">
        <v>4349</v>
      </c>
      <c r="B325" s="193">
        <v>5032</v>
      </c>
      <c r="C325" s="193">
        <v>2100</v>
      </c>
      <c r="D325" s="193">
        <v>49032</v>
      </c>
      <c r="E325" s="193">
        <v>0</v>
      </c>
      <c r="F325" s="194">
        <v>0</v>
      </c>
      <c r="G325" s="193">
        <v>1441</v>
      </c>
      <c r="H325" s="193">
        <v>48</v>
      </c>
      <c r="I325" s="193">
        <v>0</v>
      </c>
      <c r="J325" s="321" t="s">
        <v>4843</v>
      </c>
      <c r="K325" s="321" t="s">
        <v>4825</v>
      </c>
      <c r="L325" s="201"/>
      <c r="M325" s="201"/>
      <c r="N325" s="201"/>
      <c r="O325" s="201"/>
      <c r="P325" s="201"/>
      <c r="Q325" s="201"/>
      <c r="R325" s="201"/>
      <c r="S325" s="201">
        <v>2530</v>
      </c>
      <c r="T325" s="201"/>
      <c r="U325" s="403" t="s">
        <v>4832</v>
      </c>
      <c r="V325" s="351"/>
    </row>
    <row r="326" spans="1:22" s="59" customFormat="1" outlineLevel="2" x14ac:dyDescent="0.25">
      <c r="A326" s="449">
        <v>4349</v>
      </c>
      <c r="B326" s="449">
        <v>5011</v>
      </c>
      <c r="C326" s="449">
        <v>2100</v>
      </c>
      <c r="D326" s="449">
        <v>49032</v>
      </c>
      <c r="E326" s="449">
        <v>0</v>
      </c>
      <c r="F326" s="449">
        <v>0</v>
      </c>
      <c r="G326" s="449">
        <v>1441</v>
      </c>
      <c r="H326" s="449">
        <v>43</v>
      </c>
      <c r="I326" s="449">
        <v>0</v>
      </c>
      <c r="J326" s="321" t="s">
        <v>4822</v>
      </c>
      <c r="K326" s="321" t="s">
        <v>4823</v>
      </c>
      <c r="L326" s="201"/>
      <c r="M326" s="201"/>
      <c r="N326" s="201"/>
      <c r="O326" s="201"/>
      <c r="P326" s="201"/>
      <c r="Q326" s="201">
        <v>0</v>
      </c>
      <c r="R326" s="201"/>
      <c r="S326" s="460">
        <v>148879</v>
      </c>
      <c r="T326" s="460"/>
      <c r="U326" s="535" t="s">
        <v>4832</v>
      </c>
      <c r="V326" s="351"/>
    </row>
    <row r="327" spans="1:22" s="59" customFormat="1" outlineLevel="2" x14ac:dyDescent="0.25">
      <c r="A327" s="193">
        <v>4349</v>
      </c>
      <c r="B327" s="193">
        <v>5031</v>
      </c>
      <c r="C327" s="193">
        <v>2100</v>
      </c>
      <c r="D327" s="193">
        <v>49032</v>
      </c>
      <c r="E327" s="193">
        <v>0</v>
      </c>
      <c r="F327" s="194">
        <v>0</v>
      </c>
      <c r="G327" s="193">
        <v>1441</v>
      </c>
      <c r="H327" s="193">
        <v>43</v>
      </c>
      <c r="I327" s="193">
        <v>0</v>
      </c>
      <c r="J327" s="321" t="s">
        <v>4833</v>
      </c>
      <c r="K327" s="321" t="s">
        <v>4823</v>
      </c>
      <c r="L327" s="201"/>
      <c r="M327" s="201"/>
      <c r="N327" s="201"/>
      <c r="O327" s="201"/>
      <c r="P327" s="201"/>
      <c r="Q327" s="201"/>
      <c r="R327" s="201"/>
      <c r="S327" s="201">
        <v>36922</v>
      </c>
      <c r="T327" s="201"/>
      <c r="U327" s="403" t="s">
        <v>4832</v>
      </c>
      <c r="V327" s="351"/>
    </row>
    <row r="328" spans="1:22" s="59" customFormat="1" outlineLevel="2" x14ac:dyDescent="0.25">
      <c r="A328" s="193">
        <v>4349</v>
      </c>
      <c r="B328" s="193">
        <v>5032</v>
      </c>
      <c r="C328" s="193">
        <v>2100</v>
      </c>
      <c r="D328" s="193">
        <v>49032</v>
      </c>
      <c r="E328" s="193">
        <v>0</v>
      </c>
      <c r="F328" s="194">
        <v>0</v>
      </c>
      <c r="G328" s="193">
        <v>1441</v>
      </c>
      <c r="H328" s="193">
        <v>43</v>
      </c>
      <c r="I328" s="193">
        <v>0</v>
      </c>
      <c r="J328" s="321" t="s">
        <v>4842</v>
      </c>
      <c r="K328" s="321" t="s">
        <v>4823</v>
      </c>
      <c r="L328" s="201"/>
      <c r="M328" s="201"/>
      <c r="N328" s="201"/>
      <c r="O328" s="201"/>
      <c r="P328" s="201"/>
      <c r="Q328" s="201"/>
      <c r="R328" s="201"/>
      <c r="S328" s="201">
        <v>13399</v>
      </c>
      <c r="T328" s="201"/>
      <c r="U328" s="403" t="s">
        <v>4832</v>
      </c>
      <c r="V328" s="351"/>
    </row>
    <row r="329" spans="1:22" s="59" customFormat="1" outlineLevel="2" x14ac:dyDescent="0.25">
      <c r="A329" s="193">
        <v>4349</v>
      </c>
      <c r="B329" s="193">
        <v>5031</v>
      </c>
      <c r="C329" s="193">
        <v>2100</v>
      </c>
      <c r="D329" s="193">
        <v>49032</v>
      </c>
      <c r="E329" s="193">
        <v>0</v>
      </c>
      <c r="F329" s="194">
        <v>13021</v>
      </c>
      <c r="G329" s="193">
        <v>1445</v>
      </c>
      <c r="H329" s="193">
        <v>46</v>
      </c>
      <c r="I329" s="193">
        <v>0</v>
      </c>
      <c r="J329" s="321" t="s">
        <v>4840</v>
      </c>
      <c r="K329" s="321" t="s">
        <v>4841</v>
      </c>
      <c r="L329" s="201"/>
      <c r="M329" s="201"/>
      <c r="N329" s="201"/>
      <c r="O329" s="201"/>
      <c r="P329" s="201"/>
      <c r="Q329" s="201"/>
      <c r="R329" s="201"/>
      <c r="S329" s="201">
        <v>53498</v>
      </c>
      <c r="T329" s="201"/>
      <c r="U329" s="403"/>
      <c r="V329" s="351"/>
    </row>
    <row r="330" spans="1:22" s="59" customFormat="1" outlineLevel="2" x14ac:dyDescent="0.25">
      <c r="A330" s="193">
        <v>4349</v>
      </c>
      <c r="B330" s="193">
        <v>5169</v>
      </c>
      <c r="C330" s="193">
        <v>2100</v>
      </c>
      <c r="D330" s="193">
        <v>49032</v>
      </c>
      <c r="E330" s="193">
        <v>0</v>
      </c>
      <c r="F330" s="194">
        <v>0</v>
      </c>
      <c r="G330" s="193">
        <v>1441</v>
      </c>
      <c r="H330" s="193">
        <v>48</v>
      </c>
      <c r="I330" s="193">
        <v>0</v>
      </c>
      <c r="J330" s="321" t="s">
        <v>4859</v>
      </c>
      <c r="K330" s="321" t="s">
        <v>4860</v>
      </c>
      <c r="L330" s="201"/>
      <c r="M330" s="201"/>
      <c r="N330" s="201"/>
      <c r="O330" s="201"/>
      <c r="P330" s="201"/>
      <c r="Q330" s="201"/>
      <c r="R330" s="201"/>
      <c r="S330" s="201">
        <v>19200</v>
      </c>
      <c r="T330" s="201"/>
      <c r="U330" s="403" t="s">
        <v>4832</v>
      </c>
      <c r="V330" s="351"/>
    </row>
    <row r="331" spans="1:22" s="59" customFormat="1" outlineLevel="2" x14ac:dyDescent="0.25">
      <c r="A331" s="193">
        <v>4349</v>
      </c>
      <c r="B331" s="193">
        <v>5169</v>
      </c>
      <c r="C331" s="193">
        <v>2100</v>
      </c>
      <c r="D331" s="193">
        <v>49032</v>
      </c>
      <c r="E331" s="193">
        <v>0</v>
      </c>
      <c r="F331" s="194">
        <v>13021</v>
      </c>
      <c r="G331" s="193">
        <v>1441</v>
      </c>
      <c r="H331" s="193">
        <v>47</v>
      </c>
      <c r="I331" s="193">
        <v>0</v>
      </c>
      <c r="J331" s="321" t="s">
        <v>4861</v>
      </c>
      <c r="K331" s="321" t="s">
        <v>4860</v>
      </c>
      <c r="L331" s="201"/>
      <c r="M331" s="201"/>
      <c r="N331" s="201"/>
      <c r="O331" s="201"/>
      <c r="P331" s="201"/>
      <c r="Q331" s="201"/>
      <c r="R331" s="201"/>
      <c r="S331" s="201">
        <v>25469</v>
      </c>
      <c r="T331" s="201"/>
      <c r="U331" s="403"/>
      <c r="V331" s="351"/>
    </row>
    <row r="332" spans="1:22" s="59" customFormat="1" outlineLevel="2" x14ac:dyDescent="0.25">
      <c r="A332" s="193">
        <v>4349</v>
      </c>
      <c r="B332" s="193">
        <v>5169</v>
      </c>
      <c r="C332" s="193">
        <v>2100</v>
      </c>
      <c r="D332" s="193">
        <v>49032</v>
      </c>
      <c r="E332" s="193">
        <v>0</v>
      </c>
      <c r="F332" s="194">
        <v>13021</v>
      </c>
      <c r="G332" s="193">
        <v>1445</v>
      </c>
      <c r="H332" s="193">
        <v>46</v>
      </c>
      <c r="I332" s="193">
        <v>0</v>
      </c>
      <c r="J332" s="321" t="s">
        <v>4862</v>
      </c>
      <c r="K332" s="321" t="s">
        <v>4860</v>
      </c>
      <c r="L332" s="201"/>
      <c r="M332" s="201"/>
      <c r="N332" s="201"/>
      <c r="O332" s="201"/>
      <c r="P332" s="201"/>
      <c r="Q332" s="201"/>
      <c r="R332" s="201"/>
      <c r="S332" s="201">
        <v>147331</v>
      </c>
      <c r="T332" s="201"/>
      <c r="U332" s="403"/>
      <c r="V332" s="351"/>
    </row>
    <row r="333" spans="1:22" s="59" customFormat="1" outlineLevel="2" x14ac:dyDescent="0.25">
      <c r="A333" s="193">
        <v>4349</v>
      </c>
      <c r="B333" s="193">
        <v>5031</v>
      </c>
      <c r="C333" s="193">
        <v>2100</v>
      </c>
      <c r="D333" s="193">
        <v>0</v>
      </c>
      <c r="E333" s="193">
        <v>0</v>
      </c>
      <c r="F333" s="194">
        <v>0</v>
      </c>
      <c r="G333" s="193">
        <v>0</v>
      </c>
      <c r="H333" s="193">
        <v>0</v>
      </c>
      <c r="I333" s="193">
        <v>0</v>
      </c>
      <c r="J333" s="321" t="str">
        <f t="shared" ref="J333:J362" si="27">CONCATENATE(A333,"/",B333,"/",C333,"/",D333,"/",E333,"/",F333,"/",G333,"/",H333,"/",I333)</f>
        <v>4349/5031/2100/0/0/0/0/0/0</v>
      </c>
      <c r="K333" s="321" t="s">
        <v>3819</v>
      </c>
      <c r="L333" s="201"/>
      <c r="M333" s="201"/>
      <c r="N333" s="201"/>
      <c r="O333" s="201">
        <v>223723</v>
      </c>
      <c r="P333" s="201">
        <v>179308</v>
      </c>
      <c r="Q333" s="201">
        <v>292270</v>
      </c>
      <c r="R333" s="201">
        <v>277515</v>
      </c>
      <c r="S333" s="201">
        <v>292263</v>
      </c>
      <c r="T333" s="201"/>
      <c r="U333" s="403"/>
      <c r="V333" s="351"/>
    </row>
    <row r="334" spans="1:22" s="59" customFormat="1" outlineLevel="2" x14ac:dyDescent="0.25">
      <c r="A334" s="193">
        <v>4349</v>
      </c>
      <c r="B334" s="193">
        <v>5032</v>
      </c>
      <c r="C334" s="193">
        <v>2100</v>
      </c>
      <c r="D334" s="193">
        <v>0</v>
      </c>
      <c r="E334" s="193">
        <v>0</v>
      </c>
      <c r="F334" s="194">
        <v>0</v>
      </c>
      <c r="G334" s="193">
        <v>0</v>
      </c>
      <c r="H334" s="193">
        <v>0</v>
      </c>
      <c r="I334" s="193">
        <v>0</v>
      </c>
      <c r="J334" s="321" t="str">
        <f t="shared" si="27"/>
        <v>4349/5032/2100/0/0/0/0/0/0</v>
      </c>
      <c r="K334" s="321" t="s">
        <v>3820</v>
      </c>
      <c r="L334" s="201"/>
      <c r="M334" s="201"/>
      <c r="N334" s="201"/>
      <c r="O334" s="201">
        <v>81191</v>
      </c>
      <c r="P334" s="201">
        <v>65068</v>
      </c>
      <c r="Q334" s="201">
        <v>106070</v>
      </c>
      <c r="R334" s="201">
        <v>80512</v>
      </c>
      <c r="S334" s="201">
        <v>106063</v>
      </c>
      <c r="T334" s="201"/>
      <c r="U334" s="403"/>
      <c r="V334" s="351"/>
    </row>
    <row r="335" spans="1:22" s="59" customFormat="1" outlineLevel="2" x14ac:dyDescent="0.25">
      <c r="A335" s="193">
        <v>5311</v>
      </c>
      <c r="B335" s="193">
        <v>5175</v>
      </c>
      <c r="C335" s="193">
        <v>2100</v>
      </c>
      <c r="D335" s="193">
        <v>0</v>
      </c>
      <c r="E335" s="193">
        <v>0</v>
      </c>
      <c r="F335" s="194">
        <v>0</v>
      </c>
      <c r="G335" s="193">
        <v>0</v>
      </c>
      <c r="H335" s="193">
        <v>0</v>
      </c>
      <c r="I335" s="193">
        <v>0</v>
      </c>
      <c r="J335" s="321" t="str">
        <f t="shared" si="27"/>
        <v>5311/5175/2100/0/0/0/0/0/0</v>
      </c>
      <c r="K335" s="321" t="s">
        <v>5019</v>
      </c>
      <c r="L335" s="201">
        <v>2248</v>
      </c>
      <c r="M335" s="201">
        <v>2200</v>
      </c>
      <c r="N335" s="201">
        <v>901</v>
      </c>
      <c r="O335" s="201">
        <v>1280</v>
      </c>
      <c r="P335" s="201">
        <v>2460</v>
      </c>
      <c r="Q335" s="201">
        <v>3000</v>
      </c>
      <c r="R335" s="201">
        <v>3000</v>
      </c>
      <c r="S335" s="201">
        <v>5000</v>
      </c>
      <c r="T335" s="201"/>
      <c r="U335" s="403"/>
      <c r="V335" s="351"/>
    </row>
    <row r="336" spans="1:22" s="59" customFormat="1" outlineLevel="2" x14ac:dyDescent="0.25">
      <c r="A336" s="193">
        <v>5311</v>
      </c>
      <c r="B336" s="193">
        <v>5173</v>
      </c>
      <c r="C336" s="193">
        <v>2100</v>
      </c>
      <c r="D336" s="193">
        <v>0</v>
      </c>
      <c r="E336" s="193">
        <v>0</v>
      </c>
      <c r="F336" s="194">
        <v>0</v>
      </c>
      <c r="G336" s="193">
        <v>0</v>
      </c>
      <c r="H336" s="193">
        <v>0</v>
      </c>
      <c r="I336" s="193">
        <v>0</v>
      </c>
      <c r="J336" s="321" t="str">
        <f t="shared" si="27"/>
        <v>5311/5173/2100/0/0/0/0/0/0</v>
      </c>
      <c r="K336" s="321" t="s">
        <v>259</v>
      </c>
      <c r="L336" s="201">
        <v>24351</v>
      </c>
      <c r="M336" s="201">
        <v>14159</v>
      </c>
      <c r="N336" s="201">
        <v>77356</v>
      </c>
      <c r="O336" s="201">
        <v>2206</v>
      </c>
      <c r="P336" s="201">
        <v>29063</v>
      </c>
      <c r="Q336" s="201">
        <v>22256</v>
      </c>
      <c r="R336" s="201">
        <v>22256</v>
      </c>
      <c r="S336" s="201">
        <v>25000</v>
      </c>
      <c r="T336" s="201"/>
      <c r="U336" s="403"/>
      <c r="V336" s="351"/>
    </row>
    <row r="337" spans="1:22" s="59" customFormat="1" ht="45" outlineLevel="2" x14ac:dyDescent="0.25">
      <c r="A337" s="193">
        <v>5311</v>
      </c>
      <c r="B337" s="193">
        <v>5137</v>
      </c>
      <c r="C337" s="193">
        <v>2100</v>
      </c>
      <c r="D337" s="193">
        <v>0</v>
      </c>
      <c r="E337" s="193">
        <v>0</v>
      </c>
      <c r="F337" s="194">
        <v>0</v>
      </c>
      <c r="G337" s="193">
        <v>0</v>
      </c>
      <c r="H337" s="193">
        <v>0</v>
      </c>
      <c r="I337" s="193">
        <v>0</v>
      </c>
      <c r="J337" s="321" t="str">
        <f t="shared" si="27"/>
        <v>5311/5137/2100/0/0/0/0/0/0</v>
      </c>
      <c r="K337" s="321" t="s">
        <v>260</v>
      </c>
      <c r="L337" s="201">
        <v>287333</v>
      </c>
      <c r="M337" s="201">
        <v>171027.06</v>
      </c>
      <c r="N337" s="201">
        <v>121791.57</v>
      </c>
      <c r="O337" s="201">
        <v>57150.5</v>
      </c>
      <c r="P337" s="201">
        <v>228999.63</v>
      </c>
      <c r="Q337" s="201">
        <v>110000</v>
      </c>
      <c r="R337" s="201">
        <v>110000</v>
      </c>
      <c r="S337" s="201">
        <v>120000</v>
      </c>
      <c r="T337" s="201"/>
      <c r="U337" s="403" t="s">
        <v>5107</v>
      </c>
      <c r="V337" s="351"/>
    </row>
    <row r="338" spans="1:22" s="59" customFormat="1" outlineLevel="2" x14ac:dyDescent="0.25">
      <c r="A338" s="193">
        <v>5311</v>
      </c>
      <c r="B338" s="193">
        <v>5136</v>
      </c>
      <c r="C338" s="193">
        <v>2100</v>
      </c>
      <c r="D338" s="193">
        <v>0</v>
      </c>
      <c r="E338" s="193">
        <v>0</v>
      </c>
      <c r="F338" s="194">
        <v>0</v>
      </c>
      <c r="G338" s="193">
        <v>0</v>
      </c>
      <c r="H338" s="193">
        <v>0</v>
      </c>
      <c r="I338" s="193">
        <v>0</v>
      </c>
      <c r="J338" s="321" t="str">
        <f t="shared" si="27"/>
        <v>5311/5136/2100/0/0/0/0/0/0</v>
      </c>
      <c r="K338" s="321" t="s">
        <v>261</v>
      </c>
      <c r="L338" s="201">
        <v>2630</v>
      </c>
      <c r="M338" s="201">
        <v>4646</v>
      </c>
      <c r="N338" s="201">
        <v>1650</v>
      </c>
      <c r="O338" s="201">
        <v>430</v>
      </c>
      <c r="P338" s="201">
        <v>2676</v>
      </c>
      <c r="Q338" s="201">
        <v>5000</v>
      </c>
      <c r="R338" s="201">
        <v>5000</v>
      </c>
      <c r="S338" s="201">
        <v>5000</v>
      </c>
      <c r="T338" s="201"/>
      <c r="U338" s="403" t="s">
        <v>4870</v>
      </c>
      <c r="V338" s="351"/>
    </row>
    <row r="339" spans="1:22" s="59" customFormat="1" outlineLevel="2" x14ac:dyDescent="0.25">
      <c r="A339" s="193">
        <v>5311</v>
      </c>
      <c r="B339" s="193">
        <v>5361</v>
      </c>
      <c r="C339" s="193">
        <v>2100</v>
      </c>
      <c r="D339" s="193">
        <v>0</v>
      </c>
      <c r="E339" s="193">
        <v>0</v>
      </c>
      <c r="F339" s="194">
        <v>0</v>
      </c>
      <c r="G339" s="193">
        <v>0</v>
      </c>
      <c r="H339" s="193">
        <v>0</v>
      </c>
      <c r="I339" s="193">
        <v>0</v>
      </c>
      <c r="J339" s="321" t="str">
        <f t="shared" si="27"/>
        <v>5311/5361/2100/0/0/0/0/0/0</v>
      </c>
      <c r="K339" s="321" t="s">
        <v>262</v>
      </c>
      <c r="L339" s="201">
        <v>10500</v>
      </c>
      <c r="M339" s="201">
        <v>6000</v>
      </c>
      <c r="N339" s="201">
        <f>11700+440</f>
        <v>12140</v>
      </c>
      <c r="O339" s="201">
        <v>700</v>
      </c>
      <c r="P339" s="201">
        <v>5500</v>
      </c>
      <c r="Q339" s="201">
        <v>10000</v>
      </c>
      <c r="R339" s="201">
        <v>10000</v>
      </c>
      <c r="S339" s="201">
        <v>10000</v>
      </c>
      <c r="T339" s="201"/>
      <c r="U339" s="403" t="s">
        <v>4879</v>
      </c>
      <c r="V339" s="351"/>
    </row>
    <row r="340" spans="1:22" s="59" customFormat="1" ht="30" outlineLevel="2" x14ac:dyDescent="0.25">
      <c r="A340" s="187">
        <v>5311</v>
      </c>
      <c r="B340" s="187">
        <v>5133</v>
      </c>
      <c r="C340" s="187">
        <v>2100</v>
      </c>
      <c r="D340" s="187">
        <v>0</v>
      </c>
      <c r="E340" s="187">
        <v>0</v>
      </c>
      <c r="F340" s="187">
        <v>0</v>
      </c>
      <c r="G340" s="187">
        <v>0</v>
      </c>
      <c r="H340" s="187">
        <v>0</v>
      </c>
      <c r="I340" s="187">
        <v>0</v>
      </c>
      <c r="J340" s="327" t="str">
        <f t="shared" si="27"/>
        <v>5311/5133/2100/0/0/0/0/0/0</v>
      </c>
      <c r="K340" s="327" t="s">
        <v>3761</v>
      </c>
      <c r="L340" s="200"/>
      <c r="M340" s="200"/>
      <c r="N340" s="200"/>
      <c r="O340" s="200">
        <v>8811.83</v>
      </c>
      <c r="P340" s="200">
        <v>11210</v>
      </c>
      <c r="Q340" s="200">
        <v>10000</v>
      </c>
      <c r="R340" s="200">
        <v>10000</v>
      </c>
      <c r="S340" s="200">
        <v>20000</v>
      </c>
      <c r="T340" s="200"/>
      <c r="U340" s="403" t="s">
        <v>4868</v>
      </c>
      <c r="V340" s="351"/>
    </row>
    <row r="341" spans="1:22" s="59" customFormat="1" outlineLevel="2" x14ac:dyDescent="0.25">
      <c r="A341" s="193">
        <v>5311</v>
      </c>
      <c r="B341" s="193">
        <v>5424</v>
      </c>
      <c r="C341" s="193">
        <v>2100</v>
      </c>
      <c r="D341" s="193">
        <v>0</v>
      </c>
      <c r="E341" s="193">
        <v>0</v>
      </c>
      <c r="F341" s="194">
        <v>0</v>
      </c>
      <c r="G341" s="193">
        <v>0</v>
      </c>
      <c r="H341" s="193">
        <v>0</v>
      </c>
      <c r="I341" s="193">
        <v>0</v>
      </c>
      <c r="J341" s="321" t="str">
        <f t="shared" si="27"/>
        <v>5311/5424/2100/0/0/0/0/0/0</v>
      </c>
      <c r="K341" s="321" t="s">
        <v>263</v>
      </c>
      <c r="L341" s="201">
        <v>24005</v>
      </c>
      <c r="M341" s="201">
        <v>92452</v>
      </c>
      <c r="N341" s="201">
        <v>71432</v>
      </c>
      <c r="O341" s="201">
        <v>132720</v>
      </c>
      <c r="P341" s="201">
        <v>142537</v>
      </c>
      <c r="Q341" s="201">
        <v>100000</v>
      </c>
      <c r="R341" s="201">
        <v>100000</v>
      </c>
      <c r="S341" s="201">
        <v>100000</v>
      </c>
      <c r="T341" s="201"/>
      <c r="U341" s="403"/>
      <c r="V341" s="351"/>
    </row>
    <row r="342" spans="1:22" s="59" customFormat="1" ht="30" outlineLevel="2" x14ac:dyDescent="0.25">
      <c r="A342" s="193">
        <v>5311</v>
      </c>
      <c r="B342" s="193">
        <v>5164</v>
      </c>
      <c r="C342" s="193">
        <v>2100</v>
      </c>
      <c r="D342" s="193">
        <v>0</v>
      </c>
      <c r="E342" s="193">
        <v>0</v>
      </c>
      <c r="F342" s="194">
        <v>0</v>
      </c>
      <c r="G342" s="193">
        <v>0</v>
      </c>
      <c r="H342" s="193">
        <v>0</v>
      </c>
      <c r="I342" s="193">
        <v>0</v>
      </c>
      <c r="J342" s="321" t="str">
        <f t="shared" si="27"/>
        <v>5311/5164/2100/0/0/0/0/0/0</v>
      </c>
      <c r="K342" s="321" t="s">
        <v>264</v>
      </c>
      <c r="L342" s="201">
        <v>5600</v>
      </c>
      <c r="M342" s="201">
        <v>1400</v>
      </c>
      <c r="N342" s="201"/>
      <c r="O342" s="201"/>
      <c r="P342" s="201">
        <v>6300</v>
      </c>
      <c r="Q342" s="201">
        <v>84000</v>
      </c>
      <c r="R342" s="201">
        <v>84000</v>
      </c>
      <c r="S342" s="201">
        <v>84000</v>
      </c>
      <c r="T342" s="201"/>
      <c r="U342" s="403" t="s">
        <v>4874</v>
      </c>
      <c r="V342" s="351"/>
    </row>
    <row r="343" spans="1:22" ht="30" outlineLevel="2" x14ac:dyDescent="0.25">
      <c r="A343" s="193">
        <v>5311</v>
      </c>
      <c r="B343" s="193">
        <v>5139</v>
      </c>
      <c r="C343" s="193">
        <v>2100</v>
      </c>
      <c r="D343" s="193">
        <v>0</v>
      </c>
      <c r="E343" s="193">
        <v>0</v>
      </c>
      <c r="F343" s="194">
        <v>0</v>
      </c>
      <c r="G343" s="193">
        <v>0</v>
      </c>
      <c r="H343" s="193">
        <v>0</v>
      </c>
      <c r="I343" s="193">
        <v>0</v>
      </c>
      <c r="J343" s="321" t="str">
        <f t="shared" si="27"/>
        <v>5311/5139/2100/0/0/0/0/0/0</v>
      </c>
      <c r="K343" s="321" t="s">
        <v>265</v>
      </c>
      <c r="L343" s="201">
        <v>170760.9</v>
      </c>
      <c r="M343" s="201">
        <v>210697.86</v>
      </c>
      <c r="N343" s="201">
        <v>131736.65</v>
      </c>
      <c r="O343" s="201">
        <v>105567.64</v>
      </c>
      <c r="P343" s="201">
        <v>168673.23</v>
      </c>
      <c r="Q343" s="201">
        <v>160000</v>
      </c>
      <c r="R343" s="201">
        <v>160000</v>
      </c>
      <c r="S343" s="201">
        <v>200000</v>
      </c>
      <c r="T343" s="201"/>
      <c r="U343" s="403" t="s">
        <v>4871</v>
      </c>
    </row>
    <row r="344" spans="1:22" ht="30" outlineLevel="2" x14ac:dyDescent="0.25">
      <c r="A344" s="193">
        <v>5311</v>
      </c>
      <c r="B344" s="193">
        <v>5169</v>
      </c>
      <c r="C344" s="193">
        <v>2100</v>
      </c>
      <c r="D344" s="193">
        <v>0</v>
      </c>
      <c r="E344" s="193">
        <v>0</v>
      </c>
      <c r="F344" s="194">
        <v>0</v>
      </c>
      <c r="G344" s="193">
        <v>0</v>
      </c>
      <c r="H344" s="193">
        <v>0</v>
      </c>
      <c r="I344" s="193">
        <v>0</v>
      </c>
      <c r="J344" s="321" t="str">
        <f t="shared" si="27"/>
        <v>5311/5169/2100/0/0/0/0/0/0</v>
      </c>
      <c r="K344" s="321" t="s">
        <v>266</v>
      </c>
      <c r="L344" s="201">
        <v>105978.37</v>
      </c>
      <c r="M344" s="201">
        <v>88827.61</v>
      </c>
      <c r="N344" s="201">
        <v>164892.6</v>
      </c>
      <c r="O344" s="201">
        <v>190129.61</v>
      </c>
      <c r="P344" s="201">
        <v>98374.97</v>
      </c>
      <c r="Q344" s="201">
        <v>140000</v>
      </c>
      <c r="R344" s="201">
        <v>140000</v>
      </c>
      <c r="S344" s="201">
        <v>140000</v>
      </c>
      <c r="T344" s="201"/>
      <c r="U344" s="403" t="s">
        <v>4876</v>
      </c>
    </row>
    <row r="345" spans="1:22" outlineLevel="2" x14ac:dyDescent="0.25">
      <c r="A345" s="193">
        <v>5311</v>
      </c>
      <c r="B345" s="193">
        <v>5169</v>
      </c>
      <c r="C345" s="193">
        <v>2100</v>
      </c>
      <c r="D345" s="193">
        <v>30012</v>
      </c>
      <c r="E345" s="193">
        <v>0</v>
      </c>
      <c r="F345" s="194">
        <v>0</v>
      </c>
      <c r="G345" s="193">
        <v>0</v>
      </c>
      <c r="H345" s="193">
        <v>0</v>
      </c>
      <c r="I345" s="193">
        <v>0</v>
      </c>
      <c r="J345" s="321" t="str">
        <f t="shared" si="27"/>
        <v>5311/5169/2100/30012/0/0/0/0/0</v>
      </c>
      <c r="K345" s="321" t="s">
        <v>267</v>
      </c>
      <c r="L345" s="201"/>
      <c r="M345" s="201">
        <v>32839.4</v>
      </c>
      <c r="N345" s="201"/>
      <c r="O345" s="201"/>
      <c r="P345" s="201"/>
      <c r="Q345" s="201"/>
      <c r="R345" s="201"/>
      <c r="S345" s="201"/>
      <c r="T345" s="201"/>
      <c r="U345" s="403"/>
    </row>
    <row r="346" spans="1:22" ht="30" outlineLevel="2" x14ac:dyDescent="0.25">
      <c r="A346" s="187">
        <v>5311</v>
      </c>
      <c r="B346" s="187">
        <v>5026</v>
      </c>
      <c r="C346" s="187">
        <v>2100</v>
      </c>
      <c r="D346" s="187">
        <v>0</v>
      </c>
      <c r="E346" s="187">
        <v>0</v>
      </c>
      <c r="F346" s="187">
        <v>0</v>
      </c>
      <c r="G346" s="187">
        <v>0</v>
      </c>
      <c r="H346" s="187">
        <v>0</v>
      </c>
      <c r="I346" s="187">
        <v>0</v>
      </c>
      <c r="J346" s="327" t="str">
        <f t="shared" si="27"/>
        <v>5311/5026/2100/0/0/0/0/0/0</v>
      </c>
      <c r="K346" s="327" t="s">
        <v>4400</v>
      </c>
      <c r="L346" s="200"/>
      <c r="M346" s="200"/>
      <c r="N346" s="200"/>
      <c r="O346" s="200"/>
      <c r="P346" s="200"/>
      <c r="Q346" s="200"/>
      <c r="R346" s="200">
        <v>300000</v>
      </c>
      <c r="S346" s="200">
        <v>300000</v>
      </c>
      <c r="T346" s="200"/>
      <c r="U346" s="403" t="s">
        <v>4864</v>
      </c>
    </row>
    <row r="347" spans="1:22" outlineLevel="2" x14ac:dyDescent="0.25">
      <c r="A347" s="193">
        <v>5311</v>
      </c>
      <c r="B347" s="193">
        <v>5132</v>
      </c>
      <c r="C347" s="193">
        <v>2100</v>
      </c>
      <c r="D347" s="193">
        <v>0</v>
      </c>
      <c r="E347" s="193">
        <v>0</v>
      </c>
      <c r="F347" s="194">
        <v>0</v>
      </c>
      <c r="G347" s="193">
        <v>0</v>
      </c>
      <c r="H347" s="193">
        <v>0</v>
      </c>
      <c r="I347" s="193">
        <v>0</v>
      </c>
      <c r="J347" s="321" t="str">
        <f t="shared" si="27"/>
        <v>5311/5132/2100/0/0/0/0/0/0</v>
      </c>
      <c r="K347" s="321" t="s">
        <v>268</v>
      </c>
      <c r="L347" s="201">
        <v>0</v>
      </c>
      <c r="M347" s="201"/>
      <c r="N347" s="201"/>
      <c r="O347" s="201"/>
      <c r="P347" s="201"/>
      <c r="Q347" s="201">
        <v>40000</v>
      </c>
      <c r="R347" s="201">
        <v>40000</v>
      </c>
      <c r="S347" s="201">
        <v>50000</v>
      </c>
      <c r="T347" s="201"/>
      <c r="U347" s="403" t="s">
        <v>4867</v>
      </c>
    </row>
    <row r="348" spans="1:22" ht="75" outlineLevel="2" x14ac:dyDescent="0.25">
      <c r="A348" s="193">
        <v>5311</v>
      </c>
      <c r="B348" s="193">
        <v>5021</v>
      </c>
      <c r="C348" s="193">
        <v>2100</v>
      </c>
      <c r="D348" s="193">
        <v>0</v>
      </c>
      <c r="E348" s="193">
        <v>0</v>
      </c>
      <c r="F348" s="194">
        <v>0</v>
      </c>
      <c r="G348" s="193">
        <v>0</v>
      </c>
      <c r="H348" s="193">
        <v>0</v>
      </c>
      <c r="I348" s="193">
        <v>0</v>
      </c>
      <c r="J348" s="321" t="str">
        <f t="shared" si="27"/>
        <v>5311/5021/2100/0/0/0/0/0/0</v>
      </c>
      <c r="K348" s="321" t="s">
        <v>269</v>
      </c>
      <c r="L348" s="201">
        <v>302100</v>
      </c>
      <c r="M348" s="201">
        <v>306730</v>
      </c>
      <c r="N348" s="201">
        <v>223790</v>
      </c>
      <c r="O348" s="201">
        <v>317180</v>
      </c>
      <c r="P348" s="201">
        <v>354760</v>
      </c>
      <c r="Q348" s="201">
        <v>464904</v>
      </c>
      <c r="R348" s="201">
        <v>464904</v>
      </c>
      <c r="S348" s="201">
        <v>527304</v>
      </c>
      <c r="T348" s="201"/>
      <c r="U348" s="546" t="s">
        <v>5018</v>
      </c>
    </row>
    <row r="349" spans="1:22" outlineLevel="2" x14ac:dyDescent="0.25">
      <c r="A349" s="193">
        <v>5311</v>
      </c>
      <c r="B349" s="193">
        <v>5171</v>
      </c>
      <c r="C349" s="193">
        <v>2100</v>
      </c>
      <c r="D349" s="193">
        <v>0</v>
      </c>
      <c r="E349" s="193">
        <v>0</v>
      </c>
      <c r="F349" s="194">
        <v>0</v>
      </c>
      <c r="G349" s="193">
        <v>0</v>
      </c>
      <c r="H349" s="193">
        <v>0</v>
      </c>
      <c r="I349" s="193">
        <v>0</v>
      </c>
      <c r="J349" s="321" t="str">
        <f t="shared" si="27"/>
        <v>5311/5171/2100/0/0/0/0/0/0</v>
      </c>
      <c r="K349" s="321" t="s">
        <v>270</v>
      </c>
      <c r="L349" s="201">
        <v>343086.78</v>
      </c>
      <c r="M349" s="201">
        <v>289337.3</v>
      </c>
      <c r="N349" s="201">
        <v>215201.91</v>
      </c>
      <c r="O349" s="201">
        <v>250693.95</v>
      </c>
      <c r="P349" s="201">
        <v>442386.05000000005</v>
      </c>
      <c r="Q349" s="201">
        <v>400000</v>
      </c>
      <c r="R349" s="201">
        <v>400000</v>
      </c>
      <c r="S349" s="201">
        <v>400000</v>
      </c>
      <c r="T349" s="201"/>
      <c r="U349" s="403" t="s">
        <v>4873</v>
      </c>
    </row>
    <row r="350" spans="1:22" outlineLevel="2" x14ac:dyDescent="0.25">
      <c r="A350" s="193">
        <v>5311</v>
      </c>
      <c r="B350" s="193">
        <v>5429</v>
      </c>
      <c r="C350" s="193">
        <v>2100</v>
      </c>
      <c r="D350" s="193">
        <v>0</v>
      </c>
      <c r="E350" s="193">
        <v>0</v>
      </c>
      <c r="F350" s="194">
        <v>0</v>
      </c>
      <c r="G350" s="193">
        <v>0</v>
      </c>
      <c r="H350" s="193">
        <v>0</v>
      </c>
      <c r="I350" s="193">
        <v>0</v>
      </c>
      <c r="J350" s="321" t="str">
        <f t="shared" si="27"/>
        <v>5311/5429/2100/0/0/0/0/0/0</v>
      </c>
      <c r="K350" s="321" t="s">
        <v>271</v>
      </c>
      <c r="L350" s="201">
        <v>0</v>
      </c>
      <c r="M350" s="201"/>
      <c r="N350" s="201"/>
      <c r="O350" s="201"/>
      <c r="P350" s="201"/>
      <c r="Q350" s="201"/>
      <c r="R350" s="201"/>
      <c r="S350" s="201"/>
      <c r="T350" s="201"/>
      <c r="U350" s="403"/>
    </row>
    <row r="351" spans="1:22" outlineLevel="2" x14ac:dyDescent="0.25">
      <c r="A351" s="193">
        <v>5311</v>
      </c>
      <c r="B351" s="193">
        <v>5179</v>
      </c>
      <c r="C351" s="193">
        <v>2100</v>
      </c>
      <c r="D351" s="193">
        <v>0</v>
      </c>
      <c r="E351" s="193">
        <v>0</v>
      </c>
      <c r="F351" s="194">
        <v>0</v>
      </c>
      <c r="G351" s="193">
        <v>0</v>
      </c>
      <c r="H351" s="193">
        <v>0</v>
      </c>
      <c r="I351" s="193">
        <v>0</v>
      </c>
      <c r="J351" s="321" t="str">
        <f t="shared" si="27"/>
        <v>5311/5179/2100/0/0/0/0/0/0</v>
      </c>
      <c r="K351" s="321" t="s">
        <v>272</v>
      </c>
      <c r="L351" s="201">
        <v>53910</v>
      </c>
      <c r="M351" s="201">
        <v>58950</v>
      </c>
      <c r="N351" s="201">
        <v>21450</v>
      </c>
      <c r="O351" s="201">
        <v>20745</v>
      </c>
      <c r="P351" s="201">
        <v>23274</v>
      </c>
      <c r="Q351" s="201">
        <v>120000</v>
      </c>
      <c r="R351" s="201">
        <v>119800</v>
      </c>
      <c r="S351" s="201">
        <v>120000</v>
      </c>
      <c r="T351" s="201"/>
      <c r="U351" s="403" t="s">
        <v>4877</v>
      </c>
    </row>
    <row r="352" spans="1:22" outlineLevel="2" x14ac:dyDescent="0.25">
      <c r="A352" s="449">
        <v>5311</v>
      </c>
      <c r="B352" s="449">
        <v>5179</v>
      </c>
      <c r="C352" s="449">
        <v>2100</v>
      </c>
      <c r="D352" s="449">
        <v>48607</v>
      </c>
      <c r="E352" s="446">
        <v>0</v>
      </c>
      <c r="F352" s="446">
        <v>0</v>
      </c>
      <c r="G352" s="446">
        <v>0</v>
      </c>
      <c r="H352" s="446">
        <v>0</v>
      </c>
      <c r="I352" s="446">
        <v>0</v>
      </c>
      <c r="J352" s="321" t="str">
        <f t="shared" si="27"/>
        <v>5311/5179/2100/48607/0/0/0/0/0</v>
      </c>
      <c r="K352" s="447" t="s">
        <v>272</v>
      </c>
      <c r="L352" s="201"/>
      <c r="M352" s="201"/>
      <c r="N352" s="201"/>
      <c r="O352" s="201"/>
      <c r="P352" s="201"/>
      <c r="Q352" s="201"/>
      <c r="R352" s="201">
        <v>200</v>
      </c>
      <c r="S352" s="201">
        <v>200</v>
      </c>
      <c r="T352" s="201"/>
      <c r="U352" s="403"/>
    </row>
    <row r="353" spans="1:22" s="173" customFormat="1" ht="30" outlineLevel="2" x14ac:dyDescent="0.25">
      <c r="A353" s="193">
        <v>5311</v>
      </c>
      <c r="B353" s="193">
        <v>5029</v>
      </c>
      <c r="C353" s="193">
        <v>2100</v>
      </c>
      <c r="D353" s="193">
        <v>0</v>
      </c>
      <c r="E353" s="193">
        <v>0</v>
      </c>
      <c r="F353" s="194">
        <v>0</v>
      </c>
      <c r="G353" s="193">
        <v>0</v>
      </c>
      <c r="H353" s="193">
        <v>0</v>
      </c>
      <c r="I353" s="193">
        <v>0</v>
      </c>
      <c r="J353" s="321" t="str">
        <f t="shared" si="27"/>
        <v>5311/5029/2100/0/0/0/0/0/0</v>
      </c>
      <c r="K353" s="321" t="s">
        <v>273</v>
      </c>
      <c r="L353" s="201">
        <v>16000</v>
      </c>
      <c r="M353" s="201">
        <v>8000</v>
      </c>
      <c r="N353" s="201">
        <v>24000</v>
      </c>
      <c r="O353" s="201">
        <v>8000</v>
      </c>
      <c r="P353" s="201">
        <v>32000</v>
      </c>
      <c r="Q353" s="201">
        <v>100000</v>
      </c>
      <c r="R353" s="201">
        <v>100000</v>
      </c>
      <c r="S353" s="201">
        <v>200000</v>
      </c>
      <c r="T353" s="201"/>
      <c r="U353" s="403" t="s">
        <v>4865</v>
      </c>
      <c r="V353" s="359"/>
    </row>
    <row r="354" spans="1:22" s="173" customFormat="1" outlineLevel="2" x14ac:dyDescent="0.25">
      <c r="A354" s="193">
        <v>5311</v>
      </c>
      <c r="B354" s="193">
        <v>5909</v>
      </c>
      <c r="C354" s="193">
        <v>2100</v>
      </c>
      <c r="D354" s="193">
        <v>0</v>
      </c>
      <c r="E354" s="193">
        <v>0</v>
      </c>
      <c r="F354" s="194">
        <v>0</v>
      </c>
      <c r="G354" s="193">
        <v>0</v>
      </c>
      <c r="H354" s="193">
        <v>0</v>
      </c>
      <c r="I354" s="193">
        <v>0</v>
      </c>
      <c r="J354" s="321" t="str">
        <f t="shared" si="27"/>
        <v>5311/5909/2100/0/0/0/0/0/0</v>
      </c>
      <c r="K354" s="321" t="s">
        <v>274</v>
      </c>
      <c r="L354" s="201">
        <v>700</v>
      </c>
      <c r="M354" s="201"/>
      <c r="N354" s="201"/>
      <c r="O354" s="201"/>
      <c r="P354" s="201"/>
      <c r="Q354" s="201"/>
      <c r="R354" s="201"/>
      <c r="S354" s="201"/>
      <c r="T354" s="201"/>
      <c r="U354" s="403"/>
      <c r="V354" s="359"/>
    </row>
    <row r="355" spans="1:22" s="173" customFormat="1" outlineLevel="2" x14ac:dyDescent="0.25">
      <c r="A355" s="193">
        <v>5311</v>
      </c>
      <c r="B355" s="193">
        <v>5011</v>
      </c>
      <c r="C355" s="193">
        <v>2100</v>
      </c>
      <c r="D355" s="193">
        <v>0</v>
      </c>
      <c r="E355" s="193">
        <v>0</v>
      </c>
      <c r="F355" s="194">
        <v>0</v>
      </c>
      <c r="G355" s="193">
        <v>0</v>
      </c>
      <c r="H355" s="193">
        <v>0</v>
      </c>
      <c r="I355" s="193">
        <v>0</v>
      </c>
      <c r="J355" s="321" t="str">
        <f t="shared" si="27"/>
        <v>5311/5011/2100/0/0/0/0/0/0</v>
      </c>
      <c r="K355" s="321" t="s">
        <v>3714</v>
      </c>
      <c r="L355" s="201">
        <v>8960141</v>
      </c>
      <c r="M355" s="201">
        <v>9254305</v>
      </c>
      <c r="N355" s="201">
        <v>10114602</v>
      </c>
      <c r="O355" s="201">
        <v>11046654</v>
      </c>
      <c r="P355" s="201">
        <v>11047072</v>
      </c>
      <c r="Q355" s="201">
        <v>12228000</v>
      </c>
      <c r="R355" s="201">
        <v>12228000</v>
      </c>
      <c r="S355" s="201">
        <v>12228000</v>
      </c>
      <c r="T355" s="201"/>
      <c r="U355" s="403" t="s">
        <v>4863</v>
      </c>
      <c r="V355" s="359"/>
    </row>
    <row r="356" spans="1:22" s="173" customFormat="1" outlineLevel="2" x14ac:dyDescent="0.25">
      <c r="A356" s="199">
        <v>5311</v>
      </c>
      <c r="B356" s="199">
        <v>5123</v>
      </c>
      <c r="C356" s="199">
        <v>2100</v>
      </c>
      <c r="D356" s="199">
        <v>0</v>
      </c>
      <c r="E356" s="199">
        <v>0</v>
      </c>
      <c r="F356" s="199">
        <v>0</v>
      </c>
      <c r="G356" s="199">
        <v>0</v>
      </c>
      <c r="H356" s="199">
        <v>0</v>
      </c>
      <c r="I356" s="199">
        <v>0</v>
      </c>
      <c r="J356" s="333" t="str">
        <f t="shared" si="27"/>
        <v>5311/5123/2100/0/0/0/0/0/0</v>
      </c>
      <c r="K356" s="333" t="s">
        <v>275</v>
      </c>
      <c r="L356" s="358">
        <v>11990</v>
      </c>
      <c r="M356" s="358"/>
      <c r="N356" s="358"/>
      <c r="O356" s="358"/>
      <c r="P356" s="358"/>
      <c r="Q356" s="358"/>
      <c r="R356" s="358"/>
      <c r="S356" s="358"/>
      <c r="T356" s="358"/>
      <c r="U356" s="528"/>
      <c r="V356" s="359"/>
    </row>
    <row r="357" spans="1:22" s="173" customFormat="1" outlineLevel="2" x14ac:dyDescent="0.25">
      <c r="A357" s="193">
        <v>5311</v>
      </c>
      <c r="B357" s="193">
        <v>5156</v>
      </c>
      <c r="C357" s="193">
        <v>2100</v>
      </c>
      <c r="D357" s="193">
        <v>0</v>
      </c>
      <c r="E357" s="193">
        <v>0</v>
      </c>
      <c r="F357" s="194">
        <v>0</v>
      </c>
      <c r="G357" s="193">
        <v>0</v>
      </c>
      <c r="H357" s="193">
        <v>0</v>
      </c>
      <c r="I357" s="193">
        <v>0</v>
      </c>
      <c r="J357" s="321" t="str">
        <f t="shared" si="27"/>
        <v>5311/5156/2100/0/0/0/0/0/0</v>
      </c>
      <c r="K357" s="321" t="s">
        <v>276</v>
      </c>
      <c r="L357" s="201">
        <v>106398.17</v>
      </c>
      <c r="M357" s="201">
        <v>97509.87</v>
      </c>
      <c r="N357" s="201">
        <v>91105.86</v>
      </c>
      <c r="O357" s="201">
        <v>129072.38</v>
      </c>
      <c r="P357" s="201">
        <v>193761.16</v>
      </c>
      <c r="Q357" s="201">
        <v>250000</v>
      </c>
      <c r="R357" s="201">
        <v>250000</v>
      </c>
      <c r="S357" s="201">
        <v>300000</v>
      </c>
      <c r="T357" s="201"/>
      <c r="U357" s="403" t="s">
        <v>4872</v>
      </c>
      <c r="V357" s="359"/>
    </row>
    <row r="358" spans="1:22" s="173" customFormat="1" outlineLevel="2" x14ac:dyDescent="0.25">
      <c r="A358" s="193">
        <v>5311</v>
      </c>
      <c r="B358" s="193">
        <v>5163</v>
      </c>
      <c r="C358" s="193">
        <v>2100</v>
      </c>
      <c r="D358" s="193">
        <v>0</v>
      </c>
      <c r="E358" s="193">
        <v>0</v>
      </c>
      <c r="F358" s="194">
        <v>0</v>
      </c>
      <c r="G358" s="193">
        <v>0</v>
      </c>
      <c r="H358" s="193">
        <v>0</v>
      </c>
      <c r="I358" s="193">
        <v>0</v>
      </c>
      <c r="J358" s="321" t="str">
        <f t="shared" si="27"/>
        <v>5311/5163/2100/0/0/0/0/0/0</v>
      </c>
      <c r="K358" s="321" t="s">
        <v>3692</v>
      </c>
      <c r="L358" s="201">
        <v>17476</v>
      </c>
      <c r="M358" s="201">
        <v>18866</v>
      </c>
      <c r="N358" s="201">
        <v>37183</v>
      </c>
      <c r="O358" s="201">
        <v>37183</v>
      </c>
      <c r="P358" s="201">
        <v>37183</v>
      </c>
      <c r="Q358" s="201">
        <v>40000</v>
      </c>
      <c r="R358" s="201">
        <v>40000</v>
      </c>
      <c r="S358" s="201">
        <v>50000</v>
      </c>
      <c r="T358" s="201"/>
      <c r="U358" s="403" t="s">
        <v>5016</v>
      </c>
      <c r="V358" s="359"/>
    </row>
    <row r="359" spans="1:22" s="173" customFormat="1" outlineLevel="2" x14ac:dyDescent="0.25">
      <c r="A359" s="193">
        <v>5311</v>
      </c>
      <c r="B359" s="193">
        <v>5192</v>
      </c>
      <c r="C359" s="193">
        <v>2100</v>
      </c>
      <c r="D359" s="193">
        <v>0</v>
      </c>
      <c r="E359" s="193">
        <v>0</v>
      </c>
      <c r="F359" s="194">
        <v>0</v>
      </c>
      <c r="G359" s="193">
        <v>0</v>
      </c>
      <c r="H359" s="193">
        <v>0</v>
      </c>
      <c r="I359" s="193">
        <v>0</v>
      </c>
      <c r="J359" s="321" t="str">
        <f t="shared" si="27"/>
        <v>5311/5192/2100/0/0/0/0/0/0</v>
      </c>
      <c r="K359" s="321" t="s">
        <v>277</v>
      </c>
      <c r="L359" s="201">
        <v>64412</v>
      </c>
      <c r="M359" s="201"/>
      <c r="N359" s="201">
        <v>90</v>
      </c>
      <c r="O359" s="201"/>
      <c r="P359" s="201">
        <v>2693</v>
      </c>
      <c r="Q359" s="201">
        <v>40000</v>
      </c>
      <c r="R359" s="201">
        <v>40000</v>
      </c>
      <c r="S359" s="201">
        <v>50000</v>
      </c>
      <c r="T359" s="201"/>
      <c r="U359" s="403" t="s">
        <v>4878</v>
      </c>
      <c r="V359" s="359"/>
    </row>
    <row r="360" spans="1:22" s="173" customFormat="1" outlineLevel="2" x14ac:dyDescent="0.25">
      <c r="A360" s="193">
        <v>5311</v>
      </c>
      <c r="B360" s="193">
        <v>5131</v>
      </c>
      <c r="C360" s="193">
        <v>2100</v>
      </c>
      <c r="D360" s="193">
        <v>0</v>
      </c>
      <c r="E360" s="193">
        <v>0</v>
      </c>
      <c r="F360" s="194">
        <v>0</v>
      </c>
      <c r="G360" s="193">
        <v>0</v>
      </c>
      <c r="H360" s="193">
        <v>0</v>
      </c>
      <c r="I360" s="193">
        <v>0</v>
      </c>
      <c r="J360" s="321" t="str">
        <f t="shared" si="27"/>
        <v>5311/5131/2100/0/0/0/0/0/0</v>
      </c>
      <c r="K360" s="321" t="s">
        <v>278</v>
      </c>
      <c r="L360" s="201">
        <v>1456</v>
      </c>
      <c r="M360" s="201">
        <v>1402</v>
      </c>
      <c r="N360" s="201">
        <v>118</v>
      </c>
      <c r="O360" s="201">
        <v>588</v>
      </c>
      <c r="P360" s="201">
        <v>2262</v>
      </c>
      <c r="Q360" s="201">
        <v>5000</v>
      </c>
      <c r="R360" s="201">
        <v>5000</v>
      </c>
      <c r="S360" s="201">
        <v>5000</v>
      </c>
      <c r="T360" s="201"/>
      <c r="U360" s="403" t="s">
        <v>4866</v>
      </c>
      <c r="V360" s="359"/>
    </row>
    <row r="361" spans="1:22" s="173" customFormat="1" outlineLevel="2" x14ac:dyDescent="0.25">
      <c r="A361" s="193">
        <v>5311</v>
      </c>
      <c r="B361" s="193">
        <v>5134</v>
      </c>
      <c r="C361" s="193">
        <v>2100</v>
      </c>
      <c r="D361" s="193">
        <v>0</v>
      </c>
      <c r="E361" s="193">
        <v>0</v>
      </c>
      <c r="F361" s="194">
        <v>0</v>
      </c>
      <c r="G361" s="193">
        <v>0</v>
      </c>
      <c r="H361" s="193">
        <v>0</v>
      </c>
      <c r="I361" s="193">
        <v>0</v>
      </c>
      <c r="J361" s="321" t="str">
        <f t="shared" si="27"/>
        <v>5311/5134/2100/0/0/0/0/0/0</v>
      </c>
      <c r="K361" s="321" t="s">
        <v>279</v>
      </c>
      <c r="L361" s="201">
        <v>197201.71</v>
      </c>
      <c r="M361" s="201">
        <v>219636.73</v>
      </c>
      <c r="N361" s="201">
        <v>285473.8</v>
      </c>
      <c r="O361" s="201">
        <v>124257.16</v>
      </c>
      <c r="P361" s="201">
        <v>124551.2</v>
      </c>
      <c r="Q361" s="201">
        <v>290000</v>
      </c>
      <c r="R361" s="201">
        <v>290000</v>
      </c>
      <c r="S361" s="201">
        <v>300000</v>
      </c>
      <c r="T361" s="201"/>
      <c r="U361" s="403" t="s">
        <v>4869</v>
      </c>
      <c r="V361" s="359"/>
    </row>
    <row r="362" spans="1:22" s="173" customFormat="1" outlineLevel="2" x14ac:dyDescent="0.25">
      <c r="A362" s="193">
        <v>5311</v>
      </c>
      <c r="B362" s="193">
        <v>5172</v>
      </c>
      <c r="C362" s="193">
        <v>2100</v>
      </c>
      <c r="D362" s="193">
        <v>0</v>
      </c>
      <c r="E362" s="193">
        <v>0</v>
      </c>
      <c r="F362" s="194">
        <v>0</v>
      </c>
      <c r="G362" s="193">
        <v>0</v>
      </c>
      <c r="H362" s="193">
        <v>0</v>
      </c>
      <c r="I362" s="193">
        <v>0</v>
      </c>
      <c r="J362" s="321" t="str">
        <f t="shared" si="27"/>
        <v>5311/5172/2100/0/0/0/0/0/0</v>
      </c>
      <c r="K362" s="321" t="s">
        <v>280</v>
      </c>
      <c r="L362" s="201">
        <v>0</v>
      </c>
      <c r="M362" s="201"/>
      <c r="N362" s="201"/>
      <c r="O362" s="201">
        <v>3690</v>
      </c>
      <c r="P362" s="201"/>
      <c r="Q362" s="201">
        <v>30000</v>
      </c>
      <c r="R362" s="201">
        <v>30000</v>
      </c>
      <c r="S362" s="201">
        <v>50000</v>
      </c>
      <c r="T362" s="201"/>
      <c r="U362" s="403" t="s">
        <v>5017</v>
      </c>
      <c r="V362" s="359"/>
    </row>
    <row r="363" spans="1:22" s="173" customFormat="1" outlineLevel="2" x14ac:dyDescent="0.25">
      <c r="A363" s="193">
        <v>4349</v>
      </c>
      <c r="B363" s="193">
        <v>5137</v>
      </c>
      <c r="C363" s="193">
        <v>2100</v>
      </c>
      <c r="D363" s="193">
        <v>49032</v>
      </c>
      <c r="E363" s="193">
        <v>0</v>
      </c>
      <c r="F363" s="194">
        <v>0</v>
      </c>
      <c r="G363" s="193">
        <v>1441</v>
      </c>
      <c r="H363" s="193">
        <v>48</v>
      </c>
      <c r="I363" s="193">
        <v>0</v>
      </c>
      <c r="J363" s="321" t="s">
        <v>4852</v>
      </c>
      <c r="K363" s="321" t="s">
        <v>4853</v>
      </c>
      <c r="L363" s="201"/>
      <c r="M363" s="201"/>
      <c r="N363" s="201"/>
      <c r="O363" s="201"/>
      <c r="P363" s="201"/>
      <c r="Q363" s="201"/>
      <c r="R363" s="201"/>
      <c r="S363" s="201">
        <v>6100</v>
      </c>
      <c r="T363" s="201"/>
      <c r="U363" s="403" t="s">
        <v>4832</v>
      </c>
      <c r="V363" s="359"/>
    </row>
    <row r="364" spans="1:22" s="173" customFormat="1" outlineLevel="2" x14ac:dyDescent="0.25">
      <c r="A364" s="193">
        <v>4349</v>
      </c>
      <c r="B364" s="193">
        <v>5137</v>
      </c>
      <c r="C364" s="193">
        <v>2100</v>
      </c>
      <c r="D364" s="193">
        <v>49032</v>
      </c>
      <c r="E364" s="193">
        <v>0</v>
      </c>
      <c r="F364" s="194">
        <v>13021</v>
      </c>
      <c r="G364" s="193">
        <v>1441</v>
      </c>
      <c r="H364" s="193">
        <v>47</v>
      </c>
      <c r="I364" s="193">
        <v>0</v>
      </c>
      <c r="J364" s="321" t="s">
        <v>4854</v>
      </c>
      <c r="K364" s="321" t="s">
        <v>4853</v>
      </c>
      <c r="L364" s="201"/>
      <c r="M364" s="201"/>
      <c r="N364" s="201"/>
      <c r="O364" s="201"/>
      <c r="P364" s="201"/>
      <c r="Q364" s="201"/>
      <c r="R364" s="201"/>
      <c r="S364" s="201">
        <v>8092</v>
      </c>
      <c r="T364" s="201"/>
      <c r="U364" s="403"/>
      <c r="V364" s="359"/>
    </row>
    <row r="365" spans="1:22" s="173" customFormat="1" outlineLevel="2" x14ac:dyDescent="0.25">
      <c r="A365" s="193">
        <v>4349</v>
      </c>
      <c r="B365" s="193">
        <v>5137</v>
      </c>
      <c r="C365" s="193">
        <v>2100</v>
      </c>
      <c r="D365" s="193">
        <v>49032</v>
      </c>
      <c r="E365" s="193">
        <v>0</v>
      </c>
      <c r="F365" s="194">
        <v>13021</v>
      </c>
      <c r="G365" s="193">
        <v>1445</v>
      </c>
      <c r="H365" s="193">
        <v>46</v>
      </c>
      <c r="I365" s="193">
        <v>0</v>
      </c>
      <c r="J365" s="321" t="s">
        <v>4855</v>
      </c>
      <c r="K365" s="321" t="s">
        <v>4853</v>
      </c>
      <c r="L365" s="201"/>
      <c r="M365" s="201"/>
      <c r="N365" s="201"/>
      <c r="O365" s="201"/>
      <c r="P365" s="201"/>
      <c r="Q365" s="201"/>
      <c r="R365" s="201"/>
      <c r="S365" s="201">
        <v>46808</v>
      </c>
      <c r="T365" s="201"/>
      <c r="U365" s="403"/>
      <c r="V365" s="359"/>
    </row>
    <row r="366" spans="1:22" s="173" customFormat="1" outlineLevel="2" x14ac:dyDescent="0.25">
      <c r="A366" s="193">
        <v>5311</v>
      </c>
      <c r="B366" s="193">
        <v>5161</v>
      </c>
      <c r="C366" s="193">
        <v>2100</v>
      </c>
      <c r="D366" s="193">
        <v>0</v>
      </c>
      <c r="E366" s="193">
        <v>0</v>
      </c>
      <c r="F366" s="194">
        <v>0</v>
      </c>
      <c r="G366" s="193">
        <v>0</v>
      </c>
      <c r="H366" s="193">
        <v>0</v>
      </c>
      <c r="I366" s="193">
        <v>0</v>
      </c>
      <c r="J366" s="321" t="str">
        <f>CONCATENATE(A366,"/",B366,"/",C366,"/",D366,"/",E366,"/",F366,"/",G366,"/",H366,"/",I366)</f>
        <v>5311/5161/2100/0/0/0/0/0/0</v>
      </c>
      <c r="K366" s="321" t="s">
        <v>281</v>
      </c>
      <c r="L366" s="201">
        <v>402.5</v>
      </c>
      <c r="M366" s="201">
        <v>99</v>
      </c>
      <c r="N366" s="201">
        <v>90.75</v>
      </c>
      <c r="O366" s="201"/>
      <c r="P366" s="201"/>
      <c r="Q366" s="201">
        <v>4000</v>
      </c>
      <c r="R366" s="201">
        <v>4000</v>
      </c>
      <c r="S366" s="201">
        <v>4106</v>
      </c>
      <c r="T366" s="201"/>
      <c r="U366" s="403"/>
      <c r="V366" s="359"/>
    </row>
    <row r="367" spans="1:22" s="173" customFormat="1" outlineLevel="2" x14ac:dyDescent="0.25">
      <c r="A367" s="193">
        <v>5311</v>
      </c>
      <c r="B367" s="193">
        <v>5162</v>
      </c>
      <c r="C367" s="193">
        <v>2100</v>
      </c>
      <c r="D367" s="193">
        <v>0</v>
      </c>
      <c r="E367" s="193">
        <v>0</v>
      </c>
      <c r="F367" s="194">
        <v>0</v>
      </c>
      <c r="G367" s="193">
        <v>0</v>
      </c>
      <c r="H367" s="193">
        <v>0</v>
      </c>
      <c r="I367" s="193">
        <v>0</v>
      </c>
      <c r="J367" s="321" t="str">
        <f>CONCATENATE(A367,"/",B367,"/",C367,"/",D367,"/",E367,"/",F367,"/",G367,"/",H367,"/",I367)</f>
        <v>5311/5162/2100/0/0/0/0/0/0</v>
      </c>
      <c r="K367" s="321" t="s">
        <v>282</v>
      </c>
      <c r="L367" s="201">
        <v>95579.97</v>
      </c>
      <c r="M367" s="201">
        <v>88155.1</v>
      </c>
      <c r="N367" s="201">
        <v>104254.66</v>
      </c>
      <c r="O367" s="201">
        <v>99548</v>
      </c>
      <c r="P367" s="201">
        <v>104414.37</v>
      </c>
      <c r="Q367" s="201">
        <v>140000</v>
      </c>
      <c r="R367" s="201">
        <v>140000</v>
      </c>
      <c r="S367" s="201">
        <v>160000</v>
      </c>
      <c r="T367" s="201"/>
      <c r="U367" s="403" t="s">
        <v>4873</v>
      </c>
      <c r="V367" s="359"/>
    </row>
    <row r="368" spans="1:22" s="173" customFormat="1" ht="45" outlineLevel="2" x14ac:dyDescent="0.25">
      <c r="A368" s="193">
        <v>5311</v>
      </c>
      <c r="B368" s="193">
        <v>5168</v>
      </c>
      <c r="C368" s="193">
        <v>2100</v>
      </c>
      <c r="D368" s="193">
        <v>0</v>
      </c>
      <c r="E368" s="193">
        <v>0</v>
      </c>
      <c r="F368" s="194">
        <v>0</v>
      </c>
      <c r="G368" s="193">
        <v>0</v>
      </c>
      <c r="H368" s="193">
        <v>0</v>
      </c>
      <c r="I368" s="193">
        <v>0</v>
      </c>
      <c r="J368" s="321" t="str">
        <f>CONCATENATE(A368,"/",B368,"/",C368,"/",D368,"/",E368,"/",F368,"/",G368,"/",H368,"/",I368)</f>
        <v>5311/5168/2100/0/0/0/0/0/0</v>
      </c>
      <c r="K368" s="321" t="s">
        <v>283</v>
      </c>
      <c r="L368" s="201">
        <v>150599</v>
      </c>
      <c r="M368" s="201">
        <v>79354.399999999994</v>
      </c>
      <c r="N368" s="201">
        <v>63422.07</v>
      </c>
      <c r="O368" s="201">
        <v>66310</v>
      </c>
      <c r="P368" s="201">
        <v>119353.2</v>
      </c>
      <c r="Q368" s="201">
        <v>150000</v>
      </c>
      <c r="R368" s="201">
        <v>150000</v>
      </c>
      <c r="S368" s="201">
        <v>150000</v>
      </c>
      <c r="T368" s="201"/>
      <c r="U368" s="403" t="s">
        <v>5106</v>
      </c>
      <c r="V368" s="359"/>
    </row>
    <row r="369" spans="1:22" s="173" customFormat="1" outlineLevel="2" x14ac:dyDescent="0.25">
      <c r="A369" s="193">
        <v>5311</v>
      </c>
      <c r="B369" s="193">
        <v>5031</v>
      </c>
      <c r="C369" s="193">
        <v>2100</v>
      </c>
      <c r="D369" s="193">
        <v>0</v>
      </c>
      <c r="E369" s="193">
        <v>0</v>
      </c>
      <c r="F369" s="194">
        <v>0</v>
      </c>
      <c r="G369" s="193">
        <v>0</v>
      </c>
      <c r="H369" s="193">
        <v>0</v>
      </c>
      <c r="I369" s="193">
        <v>0</v>
      </c>
      <c r="J369" s="321" t="str">
        <f>CONCATENATE(A369,"/",B369,"/",C369,"/",D369,"/",E369,"/",F369,"/",G369,"/",H369,"/",I369)</f>
        <v>5311/5031/2100/0/0/0/0/0/0</v>
      </c>
      <c r="K369" s="321" t="s">
        <v>284</v>
      </c>
      <c r="L369" s="201">
        <v>2256262</v>
      </c>
      <c r="M369" s="201">
        <v>2314215</v>
      </c>
      <c r="N369" s="201">
        <v>2531986</v>
      </c>
      <c r="O369" s="201">
        <v>2755032</v>
      </c>
      <c r="P369" s="201">
        <v>2745478</v>
      </c>
      <c r="Q369" s="201">
        <v>3032550</v>
      </c>
      <c r="R369" s="201">
        <v>3032550</v>
      </c>
      <c r="S369" s="317">
        <v>3032550</v>
      </c>
      <c r="T369" s="201"/>
      <c r="U369" s="403"/>
      <c r="V369" s="359"/>
    </row>
    <row r="370" spans="1:22" s="173" customFormat="1" outlineLevel="2" x14ac:dyDescent="0.25">
      <c r="A370" s="193">
        <v>4349</v>
      </c>
      <c r="B370" s="193">
        <v>5134</v>
      </c>
      <c r="C370" s="193">
        <v>2100</v>
      </c>
      <c r="D370" s="193">
        <v>49032</v>
      </c>
      <c r="E370" s="193">
        <v>0</v>
      </c>
      <c r="F370" s="194">
        <v>0</v>
      </c>
      <c r="G370" s="193">
        <v>1441</v>
      </c>
      <c r="H370" s="193">
        <v>48</v>
      </c>
      <c r="I370" s="193">
        <v>0</v>
      </c>
      <c r="J370" s="321" t="s">
        <v>4848</v>
      </c>
      <c r="K370" s="321" t="s">
        <v>4849</v>
      </c>
      <c r="L370" s="201"/>
      <c r="M370" s="201"/>
      <c r="N370" s="201"/>
      <c r="O370" s="201"/>
      <c r="P370" s="201"/>
      <c r="Q370" s="201"/>
      <c r="R370" s="201"/>
      <c r="S370" s="201">
        <v>10000</v>
      </c>
      <c r="T370" s="201"/>
      <c r="U370" s="403" t="s">
        <v>4832</v>
      </c>
      <c r="V370" s="359"/>
    </row>
    <row r="371" spans="1:22" s="173" customFormat="1" outlineLevel="2" x14ac:dyDescent="0.25">
      <c r="A371" s="193">
        <v>4349</v>
      </c>
      <c r="B371" s="193">
        <v>5134</v>
      </c>
      <c r="C371" s="193">
        <v>2100</v>
      </c>
      <c r="D371" s="193">
        <v>49032</v>
      </c>
      <c r="E371" s="193">
        <v>0</v>
      </c>
      <c r="F371" s="194">
        <v>13021</v>
      </c>
      <c r="G371" s="193">
        <v>1441</v>
      </c>
      <c r="H371" s="193">
        <v>47</v>
      </c>
      <c r="I371" s="193">
        <v>0</v>
      </c>
      <c r="J371" s="321" t="s">
        <v>4850</v>
      </c>
      <c r="K371" s="321" t="s">
        <v>4849</v>
      </c>
      <c r="L371" s="201"/>
      <c r="M371" s="201"/>
      <c r="N371" s="201"/>
      <c r="O371" s="201"/>
      <c r="P371" s="201"/>
      <c r="Q371" s="201"/>
      <c r="R371" s="201"/>
      <c r="S371" s="201">
        <v>13265</v>
      </c>
      <c r="T371" s="201"/>
      <c r="U371" s="403"/>
      <c r="V371" s="359"/>
    </row>
    <row r="372" spans="1:22" s="173" customFormat="1" outlineLevel="2" x14ac:dyDescent="0.25">
      <c r="A372" s="193">
        <v>4349</v>
      </c>
      <c r="B372" s="193">
        <v>5134</v>
      </c>
      <c r="C372" s="193">
        <v>2100</v>
      </c>
      <c r="D372" s="193">
        <v>49032</v>
      </c>
      <c r="E372" s="193">
        <v>0</v>
      </c>
      <c r="F372" s="194">
        <v>13021</v>
      </c>
      <c r="G372" s="193">
        <v>1445</v>
      </c>
      <c r="H372" s="193">
        <v>46</v>
      </c>
      <c r="I372" s="193">
        <v>0</v>
      </c>
      <c r="J372" s="321" t="s">
        <v>4851</v>
      </c>
      <c r="K372" s="321" t="s">
        <v>4849</v>
      </c>
      <c r="L372" s="201"/>
      <c r="M372" s="201"/>
      <c r="N372" s="201"/>
      <c r="O372" s="201"/>
      <c r="P372" s="201"/>
      <c r="Q372" s="201"/>
      <c r="R372" s="201"/>
      <c r="S372" s="201">
        <v>76735</v>
      </c>
      <c r="T372" s="201"/>
      <c r="U372" s="403"/>
      <c r="V372" s="359"/>
    </row>
    <row r="373" spans="1:22" s="173" customFormat="1" outlineLevel="2" x14ac:dyDescent="0.25">
      <c r="A373" s="193">
        <v>4349</v>
      </c>
      <c r="B373" s="193">
        <v>5167</v>
      </c>
      <c r="C373" s="193">
        <v>2100</v>
      </c>
      <c r="D373" s="193">
        <v>49032</v>
      </c>
      <c r="E373" s="193">
        <v>0</v>
      </c>
      <c r="F373" s="194">
        <v>0</v>
      </c>
      <c r="G373" s="193">
        <v>1441</v>
      </c>
      <c r="H373" s="193">
        <v>48</v>
      </c>
      <c r="I373" s="193">
        <v>0</v>
      </c>
      <c r="J373" s="321" t="s">
        <v>4856</v>
      </c>
      <c r="K373" s="321" t="s">
        <v>285</v>
      </c>
      <c r="L373" s="201"/>
      <c r="M373" s="201"/>
      <c r="N373" s="201"/>
      <c r="O373" s="201"/>
      <c r="P373" s="201"/>
      <c r="Q373" s="201"/>
      <c r="R373" s="201"/>
      <c r="S373" s="201">
        <v>8600</v>
      </c>
      <c r="T373" s="201"/>
      <c r="U373" s="403" t="s">
        <v>4832</v>
      </c>
      <c r="V373" s="359"/>
    </row>
    <row r="374" spans="1:22" s="173" customFormat="1" outlineLevel="2" x14ac:dyDescent="0.25">
      <c r="A374" s="193">
        <v>4349</v>
      </c>
      <c r="B374" s="193">
        <v>5167</v>
      </c>
      <c r="C374" s="193">
        <v>2100</v>
      </c>
      <c r="D374" s="193">
        <v>49032</v>
      </c>
      <c r="E374" s="193">
        <v>0</v>
      </c>
      <c r="F374" s="194">
        <v>13021</v>
      </c>
      <c r="G374" s="193">
        <v>1441</v>
      </c>
      <c r="H374" s="193">
        <v>47</v>
      </c>
      <c r="I374" s="193">
        <v>0</v>
      </c>
      <c r="J374" s="321" t="s">
        <v>4857</v>
      </c>
      <c r="K374" s="321" t="s">
        <v>285</v>
      </c>
      <c r="L374" s="201"/>
      <c r="M374" s="201"/>
      <c r="N374" s="201"/>
      <c r="O374" s="201"/>
      <c r="P374" s="201"/>
      <c r="Q374" s="201"/>
      <c r="R374" s="201"/>
      <c r="S374" s="201">
        <v>11408</v>
      </c>
      <c r="T374" s="201"/>
      <c r="U374" s="403"/>
      <c r="V374" s="359"/>
    </row>
    <row r="375" spans="1:22" s="173" customFormat="1" outlineLevel="2" x14ac:dyDescent="0.25">
      <c r="A375" s="193">
        <v>4349</v>
      </c>
      <c r="B375" s="193">
        <v>5167</v>
      </c>
      <c r="C375" s="193">
        <v>2100</v>
      </c>
      <c r="D375" s="193">
        <v>49032</v>
      </c>
      <c r="E375" s="193">
        <v>0</v>
      </c>
      <c r="F375" s="194">
        <v>13021</v>
      </c>
      <c r="G375" s="193">
        <v>1445</v>
      </c>
      <c r="H375" s="193">
        <v>46</v>
      </c>
      <c r="I375" s="193">
        <v>0</v>
      </c>
      <c r="J375" s="321" t="s">
        <v>4858</v>
      </c>
      <c r="K375" s="321" t="s">
        <v>285</v>
      </c>
      <c r="L375" s="201"/>
      <c r="M375" s="201"/>
      <c r="N375" s="201"/>
      <c r="O375" s="201"/>
      <c r="P375" s="201"/>
      <c r="Q375" s="201"/>
      <c r="R375" s="201"/>
      <c r="S375" s="201">
        <v>65992</v>
      </c>
      <c r="T375" s="201"/>
      <c r="U375" s="403"/>
      <c r="V375" s="359"/>
    </row>
    <row r="376" spans="1:22" s="173" customFormat="1" outlineLevel="2" x14ac:dyDescent="0.25">
      <c r="A376" s="193">
        <v>5311</v>
      </c>
      <c r="B376" s="193">
        <v>5167</v>
      </c>
      <c r="C376" s="193">
        <v>2100</v>
      </c>
      <c r="D376" s="193">
        <v>0</v>
      </c>
      <c r="E376" s="193">
        <v>0</v>
      </c>
      <c r="F376" s="194">
        <v>0</v>
      </c>
      <c r="G376" s="193">
        <v>0</v>
      </c>
      <c r="H376" s="193">
        <v>0</v>
      </c>
      <c r="I376" s="193">
        <v>0</v>
      </c>
      <c r="J376" s="321" t="str">
        <f>CONCATENATE(A376,"/",B376,"/",C376,"/",D376,"/",E376,"/",F376,"/",G376,"/",H376,"/",I376)</f>
        <v>5311/5167/2100/0/0/0/0/0/0</v>
      </c>
      <c r="K376" s="321" t="s">
        <v>285</v>
      </c>
      <c r="L376" s="201">
        <v>87730.8</v>
      </c>
      <c r="M376" s="201">
        <v>64820</v>
      </c>
      <c r="N376" s="201">
        <v>92725</v>
      </c>
      <c r="O376" s="201">
        <v>25620</v>
      </c>
      <c r="P376" s="201">
        <v>89470</v>
      </c>
      <c r="Q376" s="201">
        <v>50000</v>
      </c>
      <c r="R376" s="201">
        <v>50000</v>
      </c>
      <c r="S376" s="201">
        <v>100000</v>
      </c>
      <c r="T376" s="201"/>
      <c r="U376" s="403" t="s">
        <v>4875</v>
      </c>
      <c r="V376" s="359"/>
    </row>
    <row r="377" spans="1:22" s="59" customFormat="1" outlineLevel="2" x14ac:dyDescent="0.25">
      <c r="A377" s="193">
        <v>5311</v>
      </c>
      <c r="B377" s="193">
        <v>5167</v>
      </c>
      <c r="C377" s="193">
        <v>2100</v>
      </c>
      <c r="D377" s="193">
        <v>30012</v>
      </c>
      <c r="E377" s="193">
        <v>0</v>
      </c>
      <c r="F377" s="194">
        <v>0</v>
      </c>
      <c r="G377" s="193">
        <v>0</v>
      </c>
      <c r="H377" s="193">
        <v>0</v>
      </c>
      <c r="I377" s="193">
        <v>0</v>
      </c>
      <c r="J377" s="321" t="str">
        <f>CONCATENATE(A377,"/",B377,"/",C377,"/",D377,"/",E377,"/",F377,"/",G377,"/",H377,"/",I377)</f>
        <v>5311/5167/2100/30012/0/0/0/0/0</v>
      </c>
      <c r="K377" s="321" t="s">
        <v>286</v>
      </c>
      <c r="L377" s="201"/>
      <c r="M377" s="201">
        <v>4791.6000000000004</v>
      </c>
      <c r="N377" s="201"/>
      <c r="O377" s="201"/>
      <c r="P377" s="201"/>
      <c r="Q377" s="201"/>
      <c r="R377" s="201"/>
      <c r="S377" s="201"/>
      <c r="T377" s="201"/>
      <c r="U377" s="403"/>
      <c r="V377" s="351"/>
    </row>
    <row r="378" spans="1:22" s="173" customFormat="1" outlineLevel="2" x14ac:dyDescent="0.25">
      <c r="A378" s="193">
        <v>5311</v>
      </c>
      <c r="B378" s="193">
        <v>5176</v>
      </c>
      <c r="C378" s="193">
        <v>2100</v>
      </c>
      <c r="D378" s="193">
        <v>0</v>
      </c>
      <c r="E378" s="193">
        <v>0</v>
      </c>
      <c r="F378" s="194">
        <v>0</v>
      </c>
      <c r="G378" s="193">
        <v>0</v>
      </c>
      <c r="H378" s="193">
        <v>0</v>
      </c>
      <c r="I378" s="193">
        <v>0</v>
      </c>
      <c r="J378" s="321" t="str">
        <f>CONCATENATE(A378,"/",B378,"/",C378,"/",D378,"/",E378,"/",F378,"/",G378,"/",H378,"/",I378)</f>
        <v>5311/5176/2100/0/0/0/0/0/0</v>
      </c>
      <c r="K378" s="321" t="s">
        <v>287</v>
      </c>
      <c r="L378" s="201">
        <v>0</v>
      </c>
      <c r="M378" s="201">
        <v>1200</v>
      </c>
      <c r="N378" s="201"/>
      <c r="O378" s="201">
        <v>2300</v>
      </c>
      <c r="P378" s="201">
        <v>4100</v>
      </c>
      <c r="Q378" s="201">
        <v>5000</v>
      </c>
      <c r="R378" s="201">
        <v>5000</v>
      </c>
      <c r="S378" s="201">
        <v>5800</v>
      </c>
      <c r="T378" s="201"/>
      <c r="U378" s="403"/>
      <c r="V378" s="359"/>
    </row>
    <row r="379" spans="1:22" s="173" customFormat="1" outlineLevel="2" x14ac:dyDescent="0.25">
      <c r="A379" s="193">
        <v>5311</v>
      </c>
      <c r="B379" s="193">
        <v>5032</v>
      </c>
      <c r="C379" s="193">
        <v>2100</v>
      </c>
      <c r="D379" s="193">
        <v>0</v>
      </c>
      <c r="E379" s="193">
        <v>0</v>
      </c>
      <c r="F379" s="194">
        <v>0</v>
      </c>
      <c r="G379" s="193">
        <v>0</v>
      </c>
      <c r="H379" s="193">
        <v>0</v>
      </c>
      <c r="I379" s="193">
        <v>0</v>
      </c>
      <c r="J379" s="321" t="str">
        <f>CONCATENATE(A379,"/",B379,"/",C379,"/",D379,"/",E379,"/",F379,"/",G379,"/",H379,"/",I379)</f>
        <v>5311/5032/2100/0/0/0/0/0/0</v>
      </c>
      <c r="K379" s="321" t="s">
        <v>288</v>
      </c>
      <c r="L379" s="201">
        <v>812241</v>
      </c>
      <c r="M379" s="201">
        <v>836416</v>
      </c>
      <c r="N379" s="201">
        <v>918852</v>
      </c>
      <c r="O379" s="201">
        <v>999809</v>
      </c>
      <c r="P379" s="201">
        <v>999690</v>
      </c>
      <c r="Q379" s="201">
        <v>1100520</v>
      </c>
      <c r="R379" s="201">
        <v>1100520</v>
      </c>
      <c r="S379" s="317">
        <v>1100520</v>
      </c>
      <c r="T379" s="201"/>
      <c r="U379" s="403"/>
      <c r="V379" s="359"/>
    </row>
    <row r="380" spans="1:22" s="173" customFormat="1" outlineLevel="1" x14ac:dyDescent="0.25">
      <c r="A380" s="491"/>
      <c r="B380" s="491"/>
      <c r="C380" s="499" t="s">
        <v>4670</v>
      </c>
      <c r="D380" s="491"/>
      <c r="E380" s="491"/>
      <c r="F380" s="492"/>
      <c r="G380" s="491"/>
      <c r="H380" s="491"/>
      <c r="I380" s="491"/>
      <c r="J380" s="493">
        <v>2100</v>
      </c>
      <c r="K380" s="493" t="str">
        <f>VLOOKUP(J380,orJ_správce_telefon_mail!A:B,2,0)</f>
        <v>Městská policie - Mgr., Ing. Mareček, Dis.</v>
      </c>
      <c r="L380" s="494">
        <f t="shared" ref="L380:T380" si="28">SUBTOTAL(9,L311:L379)</f>
        <v>16062358.530000001</v>
      </c>
      <c r="M380" s="494">
        <f t="shared" si="28"/>
        <v>16205667.199999999</v>
      </c>
      <c r="N380" s="494">
        <f t="shared" si="28"/>
        <v>17279369.68</v>
      </c>
      <c r="O380" s="494">
        <f t="shared" si="28"/>
        <v>17620924.07</v>
      </c>
      <c r="P380" s="494">
        <f t="shared" si="28"/>
        <v>18017577.809999995</v>
      </c>
      <c r="Q380" s="494">
        <f t="shared" si="28"/>
        <v>21029050</v>
      </c>
      <c r="R380" s="494">
        <f t="shared" si="28"/>
        <v>23587978</v>
      </c>
      <c r="S380" s="507">
        <f t="shared" si="28"/>
        <v>24226427</v>
      </c>
      <c r="T380" s="494">
        <f t="shared" si="28"/>
        <v>0</v>
      </c>
      <c r="U380" s="541"/>
      <c r="V380" s="359"/>
    </row>
    <row r="381" spans="1:22" s="174" customFormat="1" outlineLevel="2" x14ac:dyDescent="0.25">
      <c r="A381" s="193">
        <v>6221</v>
      </c>
      <c r="B381" s="193">
        <v>5901</v>
      </c>
      <c r="C381" s="193">
        <v>2200</v>
      </c>
      <c r="D381" s="193">
        <v>0</v>
      </c>
      <c r="E381" s="193">
        <v>0</v>
      </c>
      <c r="F381" s="194">
        <v>0</v>
      </c>
      <c r="G381" s="193">
        <v>0</v>
      </c>
      <c r="H381" s="193">
        <v>0</v>
      </c>
      <c r="I381" s="193">
        <v>0</v>
      </c>
      <c r="J381" s="321" t="str">
        <f t="shared" ref="J381:J400" si="29">CONCATENATE(A381,"/",B381,"/",C381,"/",D381,"/",E381,"/",F381,"/",G381,"/",H381,"/",I381)</f>
        <v>6221/5901/2200/0/0/0/0/0/0</v>
      </c>
      <c r="K381" s="321" t="s">
        <v>4392</v>
      </c>
      <c r="L381" s="201"/>
      <c r="M381" s="201"/>
      <c r="N381" s="201"/>
      <c r="O381" s="201"/>
      <c r="P381" s="201">
        <v>582308.71</v>
      </c>
      <c r="Q381" s="201"/>
      <c r="R381" s="201"/>
      <c r="S381" s="201"/>
      <c r="T381" s="201"/>
      <c r="U381" s="403"/>
      <c r="V381" s="360"/>
    </row>
    <row r="382" spans="1:22" s="173" customFormat="1" outlineLevel="2" x14ac:dyDescent="0.25">
      <c r="A382" s="193">
        <v>6171</v>
      </c>
      <c r="B382" s="193">
        <v>5169</v>
      </c>
      <c r="C382" s="193">
        <v>2200</v>
      </c>
      <c r="D382" s="193">
        <v>62010</v>
      </c>
      <c r="E382" s="193">
        <v>0</v>
      </c>
      <c r="F382" s="194">
        <v>0</v>
      </c>
      <c r="G382" s="193">
        <v>0</v>
      </c>
      <c r="H382" s="193">
        <v>0</v>
      </c>
      <c r="I382" s="193">
        <v>0</v>
      </c>
      <c r="J382" s="321" t="str">
        <f t="shared" si="29"/>
        <v>6171/5169/2200/62010/0/0/0/0/0</v>
      </c>
      <c r="K382" s="321" t="s">
        <v>201</v>
      </c>
      <c r="L382" s="201"/>
      <c r="M382" s="201"/>
      <c r="N382" s="201">
        <v>261600</v>
      </c>
      <c r="O382" s="201">
        <v>362400</v>
      </c>
      <c r="P382" s="201">
        <v>388600</v>
      </c>
      <c r="Q382" s="201">
        <v>480000</v>
      </c>
      <c r="R382" s="201">
        <v>480000</v>
      </c>
      <c r="S382" s="201">
        <v>480000</v>
      </c>
      <c r="T382" s="201"/>
      <c r="U382" s="403"/>
      <c r="V382" s="359"/>
    </row>
    <row r="383" spans="1:22" s="173" customFormat="1" outlineLevel="2" x14ac:dyDescent="0.25">
      <c r="A383" s="209">
        <v>3639</v>
      </c>
      <c r="B383" s="209">
        <v>5329</v>
      </c>
      <c r="C383" s="209">
        <v>2200</v>
      </c>
      <c r="D383" s="209">
        <v>62601</v>
      </c>
      <c r="E383" s="209">
        <v>0</v>
      </c>
      <c r="F383" s="210">
        <v>0</v>
      </c>
      <c r="G383" s="209">
        <v>0</v>
      </c>
      <c r="H383" s="209">
        <v>0</v>
      </c>
      <c r="I383" s="209">
        <v>0</v>
      </c>
      <c r="J383" s="324" t="str">
        <f t="shared" si="29"/>
        <v>3639/5329/2200/62601/0/0/0/0/0</v>
      </c>
      <c r="K383" s="324" t="s">
        <v>236</v>
      </c>
      <c r="L383" s="206">
        <v>162886</v>
      </c>
      <c r="M383" s="206">
        <v>163604</v>
      </c>
      <c r="N383" s="206">
        <v>165858</v>
      </c>
      <c r="O383" s="206">
        <v>164878</v>
      </c>
      <c r="P383" s="206">
        <v>166724</v>
      </c>
      <c r="Q383" s="206">
        <v>166724</v>
      </c>
      <c r="R383" s="206">
        <v>166724</v>
      </c>
      <c r="S383" s="206">
        <v>170000</v>
      </c>
      <c r="T383" s="206"/>
      <c r="U383" s="531"/>
      <c r="V383" s="359"/>
    </row>
    <row r="384" spans="1:22" s="175" customFormat="1" outlineLevel="2" x14ac:dyDescent="0.25">
      <c r="A384" s="193">
        <v>3522</v>
      </c>
      <c r="B384" s="193">
        <v>5192</v>
      </c>
      <c r="C384" s="193">
        <v>2200</v>
      </c>
      <c r="D384" s="193">
        <v>0</v>
      </c>
      <c r="E384" s="193">
        <v>0</v>
      </c>
      <c r="F384" s="194">
        <v>0</v>
      </c>
      <c r="G384" s="193">
        <v>0</v>
      </c>
      <c r="H384" s="193">
        <v>0</v>
      </c>
      <c r="I384" s="193">
        <v>0</v>
      </c>
      <c r="J384" s="321" t="str">
        <f t="shared" si="29"/>
        <v>3522/5192/2200/0/0/0/0/0/0</v>
      </c>
      <c r="K384" s="321" t="s">
        <v>291</v>
      </c>
      <c r="L384" s="201">
        <v>78888</v>
      </c>
      <c r="M384" s="201">
        <v>78888</v>
      </c>
      <c r="N384" s="201">
        <v>78888</v>
      </c>
      <c r="O384" s="201">
        <v>78888</v>
      </c>
      <c r="P384" s="201">
        <v>78888</v>
      </c>
      <c r="Q384" s="201">
        <v>78890</v>
      </c>
      <c r="R384" s="201">
        <v>78890</v>
      </c>
      <c r="S384" s="201">
        <v>78890</v>
      </c>
      <c r="T384" s="201"/>
      <c r="U384" s="403"/>
      <c r="V384" s="361"/>
    </row>
    <row r="385" spans="1:22" s="173" customFormat="1" outlineLevel="2" x14ac:dyDescent="0.25">
      <c r="A385" s="209">
        <v>6171</v>
      </c>
      <c r="B385" s="209">
        <v>5179</v>
      </c>
      <c r="C385" s="209">
        <v>2200</v>
      </c>
      <c r="D385" s="209">
        <v>44009</v>
      </c>
      <c r="E385" s="209">
        <v>0</v>
      </c>
      <c r="F385" s="210">
        <v>0</v>
      </c>
      <c r="G385" s="209">
        <v>0</v>
      </c>
      <c r="H385" s="209">
        <v>0</v>
      </c>
      <c r="I385" s="209">
        <v>0</v>
      </c>
      <c r="J385" s="324" t="str">
        <f t="shared" si="29"/>
        <v>6171/5179/2200/44009/0/0/0/0/0</v>
      </c>
      <c r="K385" s="324" t="s">
        <v>5067</v>
      </c>
      <c r="L385" s="206">
        <v>30342</v>
      </c>
      <c r="M385" s="206">
        <v>30291</v>
      </c>
      <c r="N385" s="206"/>
      <c r="O385" s="206">
        <v>45278.25</v>
      </c>
      <c r="P385" s="206"/>
      <c r="Q385" s="206">
        <v>0</v>
      </c>
      <c r="R385" s="206"/>
      <c r="S385" s="206"/>
      <c r="T385" s="206"/>
      <c r="U385" s="531"/>
      <c r="V385" s="359"/>
    </row>
    <row r="386" spans="1:22" s="59" customFormat="1" outlineLevel="2" x14ac:dyDescent="0.25">
      <c r="A386" s="193">
        <v>6171</v>
      </c>
      <c r="B386" s="193">
        <v>5139</v>
      </c>
      <c r="C386" s="193">
        <v>2200</v>
      </c>
      <c r="D386" s="193">
        <v>0</v>
      </c>
      <c r="E386" s="193">
        <v>0</v>
      </c>
      <c r="F386" s="194">
        <v>0</v>
      </c>
      <c r="G386" s="193">
        <v>0</v>
      </c>
      <c r="H386" s="193">
        <v>0</v>
      </c>
      <c r="I386" s="193">
        <v>0</v>
      </c>
      <c r="J386" s="321" t="str">
        <f t="shared" si="29"/>
        <v>6171/5139/2200/0/0/0/0/0/0</v>
      </c>
      <c r="K386" s="321" t="s">
        <v>4372</v>
      </c>
      <c r="L386" s="201"/>
      <c r="M386" s="201"/>
      <c r="N386" s="201"/>
      <c r="O386" s="201"/>
      <c r="P386" s="201">
        <v>14756</v>
      </c>
      <c r="Q386" s="201"/>
      <c r="R386" s="201">
        <v>51000</v>
      </c>
      <c r="S386" s="201">
        <v>100000</v>
      </c>
      <c r="T386" s="201"/>
      <c r="U386" s="403"/>
      <c r="V386" s="351"/>
    </row>
    <row r="387" spans="1:22" s="59" customFormat="1" outlineLevel="2" x14ac:dyDescent="0.25">
      <c r="A387" s="193">
        <v>6171</v>
      </c>
      <c r="B387" s="193">
        <v>5194</v>
      </c>
      <c r="C387" s="193">
        <v>2200</v>
      </c>
      <c r="D387" s="193">
        <v>0</v>
      </c>
      <c r="E387" s="193">
        <v>0</v>
      </c>
      <c r="F387" s="194">
        <v>0</v>
      </c>
      <c r="G387" s="193">
        <v>0</v>
      </c>
      <c r="H387" s="193">
        <v>0</v>
      </c>
      <c r="I387" s="193">
        <v>0</v>
      </c>
      <c r="J387" s="321" t="str">
        <f t="shared" si="29"/>
        <v>6171/5194/2200/0/0/0/0/0/0</v>
      </c>
      <c r="K387" s="321" t="s">
        <v>4387</v>
      </c>
      <c r="L387" s="201"/>
      <c r="M387" s="201"/>
      <c r="N387" s="201"/>
      <c r="O387" s="201"/>
      <c r="P387" s="201">
        <v>659</v>
      </c>
      <c r="Q387" s="201">
        <v>50000</v>
      </c>
      <c r="R387" s="201">
        <v>50000</v>
      </c>
      <c r="S387" s="201">
        <v>50000</v>
      </c>
      <c r="T387" s="201"/>
      <c r="U387" s="403"/>
      <c r="V387" s="351"/>
    </row>
    <row r="388" spans="1:22" s="64" customFormat="1" outlineLevel="2" x14ac:dyDescent="0.25">
      <c r="A388" s="193">
        <v>6171</v>
      </c>
      <c r="B388" s="193">
        <v>5901</v>
      </c>
      <c r="C388" s="193">
        <v>2200</v>
      </c>
      <c r="D388" s="193">
        <v>0</v>
      </c>
      <c r="E388" s="193">
        <v>0</v>
      </c>
      <c r="F388" s="194">
        <v>0</v>
      </c>
      <c r="G388" s="193">
        <v>0</v>
      </c>
      <c r="H388" s="453">
        <v>12</v>
      </c>
      <c r="I388" s="193">
        <v>0</v>
      </c>
      <c r="J388" s="321" t="str">
        <f t="shared" si="29"/>
        <v>6171/5901/2200/0/0/0/0/12/0</v>
      </c>
      <c r="K388" s="321" t="s">
        <v>292</v>
      </c>
      <c r="L388" s="201">
        <v>0</v>
      </c>
      <c r="M388" s="201">
        <v>86900</v>
      </c>
      <c r="N388" s="201">
        <v>40000</v>
      </c>
      <c r="O388" s="201"/>
      <c r="P388" s="201">
        <v>304843.65000000002</v>
      </c>
      <c r="Q388" s="201">
        <v>1200000</v>
      </c>
      <c r="R388" s="201">
        <v>1000000</v>
      </c>
      <c r="S388" s="201">
        <v>1200000</v>
      </c>
      <c r="T388" s="201"/>
      <c r="U388" s="403" t="s">
        <v>4772</v>
      </c>
      <c r="V388" s="356"/>
    </row>
    <row r="389" spans="1:22" outlineLevel="2" x14ac:dyDescent="0.25">
      <c r="A389" s="209">
        <v>2219</v>
      </c>
      <c r="B389" s="209">
        <v>5179</v>
      </c>
      <c r="C389" s="209">
        <v>2200</v>
      </c>
      <c r="D389" s="209">
        <v>48605</v>
      </c>
      <c r="E389" s="209">
        <v>0</v>
      </c>
      <c r="F389" s="210">
        <v>0</v>
      </c>
      <c r="G389" s="209">
        <v>0</v>
      </c>
      <c r="H389" s="209">
        <v>0</v>
      </c>
      <c r="I389" s="209">
        <v>0</v>
      </c>
      <c r="J389" s="324" t="str">
        <f t="shared" si="29"/>
        <v>2219/5179/2200/48605/0/0/0/0/0</v>
      </c>
      <c r="K389" s="324" t="s">
        <v>242</v>
      </c>
      <c r="L389" s="206"/>
      <c r="M389" s="206">
        <v>5000</v>
      </c>
      <c r="N389" s="206">
        <v>10000</v>
      </c>
      <c r="O389" s="206">
        <v>10000</v>
      </c>
      <c r="P389" s="206">
        <v>10000</v>
      </c>
      <c r="Q389" s="206">
        <v>30000</v>
      </c>
      <c r="R389" s="206">
        <v>30000</v>
      </c>
      <c r="S389" s="206">
        <v>30000</v>
      </c>
      <c r="T389" s="206"/>
      <c r="U389" s="531"/>
    </row>
    <row r="390" spans="1:22" outlineLevel="2" x14ac:dyDescent="0.25">
      <c r="A390" s="193">
        <v>6171</v>
      </c>
      <c r="B390" s="193">
        <v>5175</v>
      </c>
      <c r="C390" s="193">
        <v>2200</v>
      </c>
      <c r="D390" s="193">
        <v>0</v>
      </c>
      <c r="E390" s="193">
        <v>0</v>
      </c>
      <c r="F390" s="194">
        <v>0</v>
      </c>
      <c r="G390" s="193">
        <v>0</v>
      </c>
      <c r="H390" s="193">
        <v>0</v>
      </c>
      <c r="I390" s="193">
        <v>0</v>
      </c>
      <c r="J390" s="321" t="str">
        <f t="shared" si="29"/>
        <v>6171/5175/2200/0/0/0/0/0/0</v>
      </c>
      <c r="K390" s="321" t="s">
        <v>246</v>
      </c>
      <c r="L390" s="201">
        <v>135735</v>
      </c>
      <c r="M390" s="201">
        <v>100827.79</v>
      </c>
      <c r="N390" s="201">
        <v>62640.24</v>
      </c>
      <c r="O390" s="201">
        <v>70340.739999999991</v>
      </c>
      <c r="P390" s="201">
        <v>80934.009999999995</v>
      </c>
      <c r="Q390" s="201">
        <v>100000</v>
      </c>
      <c r="R390" s="201">
        <v>100000</v>
      </c>
      <c r="S390" s="201">
        <v>200000</v>
      </c>
      <c r="T390" s="201"/>
      <c r="U390" s="403"/>
    </row>
    <row r="391" spans="1:22" outlineLevel="2" x14ac:dyDescent="0.25">
      <c r="A391" s="449">
        <v>6112</v>
      </c>
      <c r="B391" s="449">
        <v>5169</v>
      </c>
      <c r="C391" s="449">
        <v>2200</v>
      </c>
      <c r="D391" s="449">
        <v>0</v>
      </c>
      <c r="E391" s="449">
        <v>0</v>
      </c>
      <c r="F391" s="449">
        <v>0</v>
      </c>
      <c r="G391" s="449">
        <v>0</v>
      </c>
      <c r="H391" s="449">
        <v>0</v>
      </c>
      <c r="I391" s="449">
        <v>0</v>
      </c>
      <c r="J391" s="321" t="str">
        <f t="shared" si="29"/>
        <v>6112/5169/2200/0/0/0/0/0/0</v>
      </c>
      <c r="K391" s="447" t="s">
        <v>4756</v>
      </c>
      <c r="L391" s="201"/>
      <c r="M391" s="201"/>
      <c r="N391" s="201"/>
      <c r="O391" s="201"/>
      <c r="P391" s="201"/>
      <c r="Q391" s="201"/>
      <c r="R391" s="201">
        <v>182405</v>
      </c>
      <c r="S391" s="201">
        <v>200000</v>
      </c>
      <c r="T391" s="201"/>
      <c r="U391" s="403" t="s">
        <v>4930</v>
      </c>
    </row>
    <row r="392" spans="1:22" outlineLevel="2" x14ac:dyDescent="0.25">
      <c r="A392" s="193">
        <v>6171</v>
      </c>
      <c r="B392" s="193">
        <v>5901</v>
      </c>
      <c r="C392" s="193">
        <v>2200</v>
      </c>
      <c r="D392" s="193">
        <v>0</v>
      </c>
      <c r="E392" s="193">
        <v>0</v>
      </c>
      <c r="F392" s="194">
        <v>0</v>
      </c>
      <c r="G392" s="193">
        <v>0</v>
      </c>
      <c r="H392" s="193">
        <v>0</v>
      </c>
      <c r="I392" s="193">
        <v>0</v>
      </c>
      <c r="J392" s="321" t="str">
        <f t="shared" si="29"/>
        <v>6171/5901/2200/0/0/0/0/0/0</v>
      </c>
      <c r="K392" s="321" t="s">
        <v>3702</v>
      </c>
      <c r="L392" s="201">
        <v>0</v>
      </c>
      <c r="M392" s="201"/>
      <c r="N392" s="201"/>
      <c r="O392" s="201"/>
      <c r="P392" s="201"/>
      <c r="Q392" s="201">
        <v>536153</v>
      </c>
      <c r="R392" s="201">
        <v>3689649.05</v>
      </c>
      <c r="S392" s="201">
        <v>10000000</v>
      </c>
      <c r="T392" s="201"/>
      <c r="U392" s="403"/>
    </row>
    <row r="393" spans="1:22" outlineLevel="2" x14ac:dyDescent="0.25">
      <c r="A393" s="209">
        <v>6171</v>
      </c>
      <c r="B393" s="209">
        <v>5179</v>
      </c>
      <c r="C393" s="209">
        <v>2200</v>
      </c>
      <c r="D393" s="209">
        <v>48606</v>
      </c>
      <c r="E393" s="209">
        <v>0</v>
      </c>
      <c r="F393" s="210">
        <v>0</v>
      </c>
      <c r="G393" s="209">
        <v>0</v>
      </c>
      <c r="H393" s="209">
        <v>0</v>
      </c>
      <c r="I393" s="209">
        <v>0</v>
      </c>
      <c r="J393" s="324" t="str">
        <f t="shared" si="29"/>
        <v>6171/5179/2200/48606/0/0/0/0/0</v>
      </c>
      <c r="K393" s="324" t="s">
        <v>3740</v>
      </c>
      <c r="L393" s="206"/>
      <c r="M393" s="206"/>
      <c r="N393" s="206"/>
      <c r="O393" s="206">
        <v>1500</v>
      </c>
      <c r="P393" s="206">
        <v>2500</v>
      </c>
      <c r="Q393" s="206">
        <v>2500</v>
      </c>
      <c r="R393" s="206">
        <v>2500</v>
      </c>
      <c r="S393" s="206">
        <v>2500</v>
      </c>
      <c r="T393" s="206"/>
      <c r="U393" s="531"/>
    </row>
    <row r="394" spans="1:22" outlineLevel="2" x14ac:dyDescent="0.25">
      <c r="A394" s="187">
        <v>6171</v>
      </c>
      <c r="B394" s="187">
        <v>5169</v>
      </c>
      <c r="C394" s="187">
        <v>2200</v>
      </c>
      <c r="D394" s="187">
        <v>62011</v>
      </c>
      <c r="E394" s="187">
        <v>0</v>
      </c>
      <c r="F394" s="187">
        <v>0</v>
      </c>
      <c r="G394" s="187">
        <v>0</v>
      </c>
      <c r="H394" s="187">
        <v>0</v>
      </c>
      <c r="I394" s="187">
        <v>0</v>
      </c>
      <c r="J394" s="327" t="str">
        <f t="shared" si="29"/>
        <v>6171/5169/2200/62011/0/0/0/0/0</v>
      </c>
      <c r="K394" s="327" t="s">
        <v>3698</v>
      </c>
      <c r="L394" s="200"/>
      <c r="M394" s="200"/>
      <c r="N394" s="200"/>
      <c r="O394" s="200">
        <v>226400</v>
      </c>
      <c r="P394" s="200">
        <v>440000</v>
      </c>
      <c r="Q394" s="200">
        <v>480000</v>
      </c>
      <c r="R394" s="200">
        <v>180045.2</v>
      </c>
      <c r="S394" s="200">
        <v>0</v>
      </c>
      <c r="T394" s="200"/>
      <c r="U394" s="403"/>
    </row>
    <row r="395" spans="1:22" outlineLevel="2" x14ac:dyDescent="0.25">
      <c r="A395" s="209">
        <v>6171</v>
      </c>
      <c r="B395" s="209">
        <v>5179</v>
      </c>
      <c r="C395" s="209">
        <v>2200</v>
      </c>
      <c r="D395" s="209">
        <v>42605</v>
      </c>
      <c r="E395" s="209">
        <v>0</v>
      </c>
      <c r="F395" s="210">
        <v>0</v>
      </c>
      <c r="G395" s="209">
        <v>0</v>
      </c>
      <c r="H395" s="209">
        <v>0</v>
      </c>
      <c r="I395" s="209">
        <v>0</v>
      </c>
      <c r="J395" s="324" t="str">
        <f t="shared" si="29"/>
        <v>6171/5179/2200/42605/0/0/0/0/0</v>
      </c>
      <c r="K395" s="324" t="s">
        <v>254</v>
      </c>
      <c r="L395" s="206">
        <v>41729</v>
      </c>
      <c r="M395" s="206">
        <v>66608</v>
      </c>
      <c r="N395" s="206">
        <v>67974.8</v>
      </c>
      <c r="O395" s="206">
        <v>69437.36</v>
      </c>
      <c r="P395" s="206">
        <v>71233.039999999994</v>
      </c>
      <c r="Q395" s="206">
        <v>71233</v>
      </c>
      <c r="R395" s="206">
        <v>71258</v>
      </c>
      <c r="S395" s="206">
        <v>72000</v>
      </c>
      <c r="T395" s="206"/>
      <c r="U395" s="531"/>
    </row>
    <row r="396" spans="1:22" outlineLevel="2" x14ac:dyDescent="0.25">
      <c r="A396" s="193">
        <v>6310</v>
      </c>
      <c r="B396" s="193">
        <v>5141</v>
      </c>
      <c r="C396" s="193">
        <v>2200</v>
      </c>
      <c r="D396" s="193">
        <v>988025</v>
      </c>
      <c r="E396" s="193">
        <v>0</v>
      </c>
      <c r="F396" s="194">
        <v>0</v>
      </c>
      <c r="G396" s="193">
        <v>0</v>
      </c>
      <c r="H396" s="193">
        <v>0</v>
      </c>
      <c r="I396" s="193">
        <v>0</v>
      </c>
      <c r="J396" s="321" t="str">
        <f t="shared" si="29"/>
        <v>6310/5141/2200/988025/0/0/0/0/0</v>
      </c>
      <c r="K396" s="321" t="s">
        <v>3786</v>
      </c>
      <c r="L396" s="201">
        <v>1560272.44</v>
      </c>
      <c r="M396" s="201">
        <v>2498489.44</v>
      </c>
      <c r="N396" s="201">
        <v>2961210.0200000005</v>
      </c>
      <c r="O396" s="201">
        <v>2451861.77</v>
      </c>
      <c r="P396" s="201">
        <v>1914031.44</v>
      </c>
      <c r="Q396" s="201">
        <v>1440000</v>
      </c>
      <c r="R396" s="201">
        <v>1440000</v>
      </c>
      <c r="S396" s="201">
        <v>1144410</v>
      </c>
      <c r="T396" s="201"/>
      <c r="U396" s="403"/>
    </row>
    <row r="397" spans="1:22" outlineLevel="2" x14ac:dyDescent="0.25">
      <c r="A397" s="187">
        <v>6112</v>
      </c>
      <c r="B397" s="187">
        <v>5173</v>
      </c>
      <c r="C397" s="187">
        <v>2200</v>
      </c>
      <c r="D397" s="187">
        <v>0</v>
      </c>
      <c r="E397" s="187">
        <v>0</v>
      </c>
      <c r="F397" s="187">
        <v>0</v>
      </c>
      <c r="G397" s="187">
        <v>0</v>
      </c>
      <c r="H397" s="187">
        <v>0</v>
      </c>
      <c r="I397" s="187">
        <v>0</v>
      </c>
      <c r="J397" s="327" t="str">
        <f t="shared" si="29"/>
        <v>6112/5173/2200/0/0/0/0/0/0</v>
      </c>
      <c r="K397" s="327" t="s">
        <v>217</v>
      </c>
      <c r="L397" s="200">
        <v>11989.77</v>
      </c>
      <c r="M397" s="200">
        <v>23761.96</v>
      </c>
      <c r="N397" s="200">
        <v>4723.8</v>
      </c>
      <c r="O397" s="200">
        <v>20887.259999999998</v>
      </c>
      <c r="P397" s="200">
        <v>23921.200000000001</v>
      </c>
      <c r="Q397" s="200">
        <v>60000</v>
      </c>
      <c r="R397" s="200">
        <v>59950</v>
      </c>
      <c r="S397" s="200">
        <v>60000</v>
      </c>
      <c r="T397" s="200"/>
      <c r="U397" s="403"/>
    </row>
    <row r="398" spans="1:22" outlineLevel="2" x14ac:dyDescent="0.25">
      <c r="A398" s="449">
        <v>6112</v>
      </c>
      <c r="B398" s="449">
        <v>5167</v>
      </c>
      <c r="C398" s="449">
        <v>2200</v>
      </c>
      <c r="D398" s="449">
        <v>0</v>
      </c>
      <c r="E398" s="449">
        <v>0</v>
      </c>
      <c r="F398" s="449">
        <v>0</v>
      </c>
      <c r="G398" s="449">
        <v>0</v>
      </c>
      <c r="H398" s="449">
        <v>0</v>
      </c>
      <c r="I398" s="449">
        <v>0</v>
      </c>
      <c r="J398" s="321" t="str">
        <f t="shared" si="29"/>
        <v>6112/5167/2200/0/0/0/0/0/0</v>
      </c>
      <c r="K398" s="447" t="s">
        <v>4709</v>
      </c>
      <c r="L398" s="200"/>
      <c r="M398" s="200"/>
      <c r="N398" s="200"/>
      <c r="O398" s="200"/>
      <c r="P398" s="200"/>
      <c r="Q398" s="200"/>
      <c r="R398" s="200">
        <v>50</v>
      </c>
      <c r="S398" s="200">
        <v>10000</v>
      </c>
      <c r="T398" s="200"/>
      <c r="U398" s="403"/>
    </row>
    <row r="399" spans="1:22" outlineLevel="2" x14ac:dyDescent="0.25">
      <c r="A399" s="193">
        <v>6112</v>
      </c>
      <c r="B399" s="193">
        <v>5176</v>
      </c>
      <c r="C399" s="193">
        <v>2200</v>
      </c>
      <c r="D399" s="193">
        <v>0</v>
      </c>
      <c r="E399" s="193">
        <v>0</v>
      </c>
      <c r="F399" s="194">
        <v>0</v>
      </c>
      <c r="G399" s="193">
        <v>0</v>
      </c>
      <c r="H399" s="193">
        <v>0</v>
      </c>
      <c r="I399" s="193">
        <v>0</v>
      </c>
      <c r="J399" s="321" t="str">
        <f t="shared" si="29"/>
        <v>6112/5176/2200/0/0/0/0/0/0</v>
      </c>
      <c r="K399" s="321" t="s">
        <v>4385</v>
      </c>
      <c r="L399" s="201"/>
      <c r="M399" s="201"/>
      <c r="N399" s="201"/>
      <c r="O399" s="201"/>
      <c r="P399" s="201">
        <v>13480</v>
      </c>
      <c r="Q399" s="201">
        <v>5000</v>
      </c>
      <c r="R399" s="201">
        <v>5000</v>
      </c>
      <c r="S399" s="201">
        <v>10000</v>
      </c>
      <c r="T399" s="201"/>
      <c r="U399" s="403"/>
    </row>
    <row r="400" spans="1:22" outlineLevel="2" x14ac:dyDescent="0.25">
      <c r="A400" s="193">
        <v>0</v>
      </c>
      <c r="B400" s="193">
        <v>5000</v>
      </c>
      <c r="C400" s="193">
        <v>2200</v>
      </c>
      <c r="D400" s="193">
        <v>0</v>
      </c>
      <c r="E400" s="193">
        <v>0</v>
      </c>
      <c r="F400" s="194">
        <v>0</v>
      </c>
      <c r="G400" s="193">
        <v>0</v>
      </c>
      <c r="H400" s="193">
        <v>0</v>
      </c>
      <c r="I400" s="193">
        <v>0</v>
      </c>
      <c r="J400" s="321" t="str">
        <f t="shared" si="29"/>
        <v>0/5000/2200/0/0/0/0/0/0</v>
      </c>
      <c r="K400" s="321" t="s">
        <v>190</v>
      </c>
      <c r="L400" s="201">
        <f>4735630-216000+19503.4</f>
        <v>4539133.4000000004</v>
      </c>
      <c r="M400" s="201">
        <f>2202597.7-199820</f>
        <v>2002777.7000000002</v>
      </c>
      <c r="N400" s="201">
        <v>3064977.18</v>
      </c>
      <c r="O400" s="201"/>
      <c r="P400" s="201"/>
      <c r="Q400" s="201"/>
      <c r="R400" s="201">
        <v>40000</v>
      </c>
      <c r="S400" s="201"/>
      <c r="T400" s="201"/>
      <c r="U400" s="403"/>
    </row>
    <row r="401" spans="1:22" outlineLevel="1" x14ac:dyDescent="0.25">
      <c r="A401" s="491"/>
      <c r="B401" s="491"/>
      <c r="C401" s="499" t="s">
        <v>4671</v>
      </c>
      <c r="D401" s="491"/>
      <c r="E401" s="491"/>
      <c r="F401" s="492"/>
      <c r="G401" s="491"/>
      <c r="H401" s="491"/>
      <c r="I401" s="491"/>
      <c r="J401" s="493">
        <v>2200</v>
      </c>
      <c r="K401" s="493" t="str">
        <f>VLOOKUP(J401,orJ_správce_telefon_mail!A:B,2,0)</f>
        <v>Oddělení zastupitelských orgánů - pí Tivodarová</v>
      </c>
      <c r="L401" s="494">
        <f t="shared" ref="L401:T401" si="30">SUBTOTAL(9,L381:L400)</f>
        <v>6560975.6100000003</v>
      </c>
      <c r="M401" s="494">
        <f t="shared" si="30"/>
        <v>5057147.8900000006</v>
      </c>
      <c r="N401" s="494">
        <f t="shared" si="30"/>
        <v>6717872.040000001</v>
      </c>
      <c r="O401" s="494">
        <f t="shared" si="30"/>
        <v>3501871.38</v>
      </c>
      <c r="P401" s="494">
        <f t="shared" si="30"/>
        <v>4092879.05</v>
      </c>
      <c r="Q401" s="494">
        <f t="shared" si="30"/>
        <v>4700500</v>
      </c>
      <c r="R401" s="494">
        <f t="shared" si="30"/>
        <v>7627471.25</v>
      </c>
      <c r="S401" s="494">
        <f t="shared" si="30"/>
        <v>13807800</v>
      </c>
      <c r="T401" s="494">
        <f t="shared" si="30"/>
        <v>0</v>
      </c>
      <c r="U401" s="541"/>
    </row>
    <row r="402" spans="1:22" s="59" customFormat="1" outlineLevel="2" x14ac:dyDescent="0.25">
      <c r="A402" s="193">
        <v>3421</v>
      </c>
      <c r="B402" s="193">
        <v>5169</v>
      </c>
      <c r="C402" s="193">
        <v>2300</v>
      </c>
      <c r="D402" s="193">
        <v>0</v>
      </c>
      <c r="E402" s="193">
        <v>0</v>
      </c>
      <c r="F402" s="194">
        <v>0</v>
      </c>
      <c r="G402" s="193">
        <v>0</v>
      </c>
      <c r="H402" s="193">
        <v>0</v>
      </c>
      <c r="I402" s="193">
        <v>0</v>
      </c>
      <c r="J402" s="321" t="str">
        <f t="shared" ref="J402:J408" si="31">CONCATENATE(A402,"/",B402,"/",C402,"/",D402,"/",E402,"/",F402,"/",G402,"/",H402,"/",I402)</f>
        <v>3421/5169/2300/0/0/0/0/0/0</v>
      </c>
      <c r="K402" s="321" t="s">
        <v>296</v>
      </c>
      <c r="L402" s="201">
        <v>6897</v>
      </c>
      <c r="M402" s="201">
        <v>5989.5</v>
      </c>
      <c r="N402" s="201"/>
      <c r="O402" s="201"/>
      <c r="P402" s="201">
        <v>5600</v>
      </c>
      <c r="Q402" s="201">
        <v>7500</v>
      </c>
      <c r="R402" s="201">
        <v>7500</v>
      </c>
      <c r="S402" s="201">
        <v>10000</v>
      </c>
      <c r="T402" s="201"/>
      <c r="U402" s="403"/>
      <c r="V402" s="351"/>
    </row>
    <row r="403" spans="1:22" s="59" customFormat="1" outlineLevel="2" x14ac:dyDescent="0.25">
      <c r="A403" s="193">
        <v>2295</v>
      </c>
      <c r="B403" s="193">
        <v>5339</v>
      </c>
      <c r="C403" s="193">
        <v>2300</v>
      </c>
      <c r="D403" s="193">
        <v>49540</v>
      </c>
      <c r="E403" s="193">
        <v>0</v>
      </c>
      <c r="F403" s="194">
        <v>0</v>
      </c>
      <c r="G403" s="193">
        <v>0</v>
      </c>
      <c r="H403" s="193">
        <v>0</v>
      </c>
      <c r="I403" s="193">
        <v>0</v>
      </c>
      <c r="J403" s="321" t="str">
        <f t="shared" si="31"/>
        <v>2295/5339/2300/49540/0/0/0/0/0</v>
      </c>
      <c r="K403" s="321" t="s">
        <v>4389</v>
      </c>
      <c r="L403" s="201"/>
      <c r="M403" s="201"/>
      <c r="N403" s="201"/>
      <c r="O403" s="201"/>
      <c r="P403" s="201">
        <v>1231623</v>
      </c>
      <c r="Q403" s="201">
        <v>1443423</v>
      </c>
      <c r="R403" s="201">
        <v>1443423</v>
      </c>
      <c r="S403" s="201">
        <v>2540000</v>
      </c>
      <c r="T403" s="201"/>
      <c r="U403" s="403" t="s">
        <v>4882</v>
      </c>
      <c r="V403" s="351"/>
    </row>
    <row r="404" spans="1:22" outlineLevel="2" x14ac:dyDescent="0.25">
      <c r="A404" s="193">
        <v>2292</v>
      </c>
      <c r="B404" s="193">
        <v>5323</v>
      </c>
      <c r="C404" s="193">
        <v>2300</v>
      </c>
      <c r="D404" s="193">
        <v>42099</v>
      </c>
      <c r="E404" s="193">
        <v>0</v>
      </c>
      <c r="F404" s="194">
        <v>0</v>
      </c>
      <c r="G404" s="193">
        <v>0</v>
      </c>
      <c r="H404" s="193">
        <v>0</v>
      </c>
      <c r="I404" s="193">
        <v>0</v>
      </c>
      <c r="J404" s="321" t="str">
        <f t="shared" si="31"/>
        <v>2292/5323/2300/42099/0/0/0/0/0</v>
      </c>
      <c r="K404" s="321" t="s">
        <v>4388</v>
      </c>
      <c r="L404" s="201"/>
      <c r="M404" s="201"/>
      <c r="N404" s="201"/>
      <c r="O404" s="201"/>
      <c r="P404" s="201">
        <v>17227.5</v>
      </c>
      <c r="Q404" s="201"/>
      <c r="R404" s="201"/>
      <c r="S404" s="201"/>
      <c r="T404" s="201"/>
      <c r="U404" s="403"/>
    </row>
    <row r="405" spans="1:22" outlineLevel="2" x14ac:dyDescent="0.25">
      <c r="A405" s="187">
        <v>2221</v>
      </c>
      <c r="B405" s="187">
        <v>5169</v>
      </c>
      <c r="C405" s="187">
        <v>2300</v>
      </c>
      <c r="D405" s="187">
        <v>0</v>
      </c>
      <c r="E405" s="187">
        <v>0</v>
      </c>
      <c r="F405" s="187">
        <v>0</v>
      </c>
      <c r="G405" s="187">
        <v>0</v>
      </c>
      <c r="H405" s="187">
        <v>4</v>
      </c>
      <c r="I405" s="187">
        <v>0</v>
      </c>
      <c r="J405" s="327" t="str">
        <f t="shared" si="31"/>
        <v>2221/5169/2300/0/0/0/0/4/0</v>
      </c>
      <c r="K405" s="327" t="s">
        <v>3744</v>
      </c>
      <c r="L405" s="200"/>
      <c r="M405" s="200"/>
      <c r="N405" s="200"/>
      <c r="O405" s="200">
        <v>140499</v>
      </c>
      <c r="P405" s="200">
        <v>300000</v>
      </c>
      <c r="Q405" s="200">
        <v>300000</v>
      </c>
      <c r="R405" s="200">
        <v>300000</v>
      </c>
      <c r="S405" s="200">
        <v>380000</v>
      </c>
      <c r="T405" s="200"/>
      <c r="U405" s="403" t="s">
        <v>4880</v>
      </c>
    </row>
    <row r="406" spans="1:22" s="62" customFormat="1" outlineLevel="2" x14ac:dyDescent="0.25">
      <c r="A406" s="193">
        <v>2299</v>
      </c>
      <c r="B406" s="193">
        <v>5166</v>
      </c>
      <c r="C406" s="193">
        <v>2300</v>
      </c>
      <c r="D406" s="193">
        <v>0</v>
      </c>
      <c r="E406" s="193">
        <v>0</v>
      </c>
      <c r="F406" s="194">
        <v>0</v>
      </c>
      <c r="G406" s="193">
        <v>0</v>
      </c>
      <c r="H406" s="193">
        <v>0</v>
      </c>
      <c r="I406" s="193">
        <v>0</v>
      </c>
      <c r="J406" s="321" t="str">
        <f t="shared" si="31"/>
        <v>2299/5166/2300/0/0/0/0/0/0</v>
      </c>
      <c r="K406" s="321" t="s">
        <v>3856</v>
      </c>
      <c r="L406" s="201"/>
      <c r="M406" s="201"/>
      <c r="N406" s="201"/>
      <c r="O406" s="201"/>
      <c r="P406" s="201">
        <v>54584.86</v>
      </c>
      <c r="Q406" s="201">
        <v>70000</v>
      </c>
      <c r="R406" s="201">
        <v>70000</v>
      </c>
      <c r="S406" s="201">
        <v>70000</v>
      </c>
      <c r="T406" s="201"/>
      <c r="U406" s="403"/>
      <c r="V406" s="355"/>
    </row>
    <row r="407" spans="1:22" outlineLevel="2" x14ac:dyDescent="0.25">
      <c r="A407" s="193">
        <v>2292</v>
      </c>
      <c r="B407" s="193">
        <v>5213</v>
      </c>
      <c r="C407" s="193">
        <v>2300</v>
      </c>
      <c r="D407" s="193">
        <v>49541</v>
      </c>
      <c r="E407" s="193">
        <v>0</v>
      </c>
      <c r="F407" s="194">
        <v>0</v>
      </c>
      <c r="G407" s="193">
        <v>0</v>
      </c>
      <c r="H407" s="193">
        <v>0</v>
      </c>
      <c r="I407" s="193">
        <v>0</v>
      </c>
      <c r="J407" s="321" t="str">
        <f t="shared" si="31"/>
        <v>2292/5213/2300/49541/0/0/0/0/0</v>
      </c>
      <c r="K407" s="321" t="s">
        <v>297</v>
      </c>
      <c r="L407" s="201">
        <f>8572909.2+151414</f>
        <v>8724323.1999999993</v>
      </c>
      <c r="M407" s="201">
        <v>9066765.7699999996</v>
      </c>
      <c r="N407" s="201">
        <f>10631745.35+38332</f>
        <v>10670077.35</v>
      </c>
      <c r="O407" s="201">
        <v>10923146.310000001</v>
      </c>
      <c r="P407" s="201">
        <v>8854998.5700000003</v>
      </c>
      <c r="Q407" s="201">
        <v>13200000</v>
      </c>
      <c r="R407" s="201">
        <v>13200000</v>
      </c>
      <c r="S407" s="201">
        <v>12000000</v>
      </c>
      <c r="T407" s="201"/>
      <c r="U407" s="403" t="s">
        <v>4881</v>
      </c>
    </row>
    <row r="408" spans="1:22" outlineLevel="2" x14ac:dyDescent="0.25">
      <c r="A408" s="193">
        <v>2299</v>
      </c>
      <c r="B408" s="193">
        <v>5909</v>
      </c>
      <c r="C408" s="193">
        <v>2300</v>
      </c>
      <c r="D408" s="193">
        <v>0</v>
      </c>
      <c r="E408" s="193">
        <v>0</v>
      </c>
      <c r="F408" s="194">
        <v>0</v>
      </c>
      <c r="G408" s="193">
        <v>0</v>
      </c>
      <c r="H408" s="193">
        <v>0</v>
      </c>
      <c r="I408" s="193">
        <v>0</v>
      </c>
      <c r="J408" s="321" t="str">
        <f t="shared" si="31"/>
        <v>2299/5909/2300/0/0/0/0/0/0</v>
      </c>
      <c r="K408" s="321" t="s">
        <v>4466</v>
      </c>
      <c r="L408" s="201">
        <v>500</v>
      </c>
      <c r="M408" s="201">
        <v>10500</v>
      </c>
      <c r="N408" s="201">
        <v>44903</v>
      </c>
      <c r="O408" s="201">
        <v>15992</v>
      </c>
      <c r="P408" s="201">
        <v>16482.5</v>
      </c>
      <c r="Q408" s="201">
        <v>239077</v>
      </c>
      <c r="R408" s="201">
        <v>239077</v>
      </c>
      <c r="S408" s="201">
        <v>260000</v>
      </c>
      <c r="T408" s="201"/>
      <c r="U408" s="403"/>
    </row>
    <row r="409" spans="1:22" outlineLevel="1" x14ac:dyDescent="0.25">
      <c r="A409" s="491"/>
      <c r="B409" s="491"/>
      <c r="C409" s="499" t="s">
        <v>4672</v>
      </c>
      <c r="D409" s="491"/>
      <c r="E409" s="491"/>
      <c r="F409" s="492"/>
      <c r="G409" s="491"/>
      <c r="H409" s="491"/>
      <c r="I409" s="491"/>
      <c r="J409" s="493">
        <v>2300</v>
      </c>
      <c r="K409" s="493" t="str">
        <f>VLOOKUP(J409,orJ_správce_telefon_mail!A:B,2,0)</f>
        <v xml:space="preserve">Odbor dopravy a silničního hospodářství - Bc. Gygalová </v>
      </c>
      <c r="L409" s="494">
        <f t="shared" ref="L409:T409" si="32">SUBTOTAL(9,L402:L408)</f>
        <v>8731720.1999999993</v>
      </c>
      <c r="M409" s="494">
        <f t="shared" si="32"/>
        <v>9083255.2699999996</v>
      </c>
      <c r="N409" s="494">
        <f t="shared" si="32"/>
        <v>10714980.35</v>
      </c>
      <c r="O409" s="494">
        <f t="shared" si="32"/>
        <v>11079637.310000001</v>
      </c>
      <c r="P409" s="494">
        <f t="shared" si="32"/>
        <v>10480516.43</v>
      </c>
      <c r="Q409" s="494">
        <f t="shared" si="32"/>
        <v>15260000</v>
      </c>
      <c r="R409" s="494">
        <f t="shared" si="32"/>
        <v>15260000</v>
      </c>
      <c r="S409" s="494">
        <f t="shared" si="32"/>
        <v>15260000</v>
      </c>
      <c r="T409" s="494">
        <f t="shared" si="32"/>
        <v>0</v>
      </c>
      <c r="U409" s="541"/>
    </row>
    <row r="410" spans="1:22" outlineLevel="2" x14ac:dyDescent="0.25">
      <c r="A410" s="193">
        <v>2219</v>
      </c>
      <c r="B410" s="193">
        <v>5909</v>
      </c>
      <c r="C410" s="193">
        <v>2490</v>
      </c>
      <c r="D410" s="193">
        <v>0</v>
      </c>
      <c r="E410" s="193">
        <v>0</v>
      </c>
      <c r="F410" s="194">
        <v>0</v>
      </c>
      <c r="G410" s="193">
        <v>0</v>
      </c>
      <c r="H410" s="193">
        <v>0</v>
      </c>
      <c r="I410" s="193">
        <v>0</v>
      </c>
      <c r="J410" s="321" t="str">
        <f t="shared" ref="J410:J420" si="33">CONCATENATE(A410,"/",B410,"/",C410,"/",D410,"/",E410,"/",F410,"/",G410,"/",H410,"/",I410)</f>
        <v>2219/5909/2490/0/0/0/0/0/0</v>
      </c>
      <c r="K410" s="321" t="s">
        <v>5068</v>
      </c>
      <c r="L410" s="201"/>
      <c r="M410" s="201"/>
      <c r="N410" s="201"/>
      <c r="O410" s="201"/>
      <c r="P410" s="201"/>
      <c r="Q410" s="201"/>
      <c r="R410" s="201">
        <v>139555</v>
      </c>
      <c r="S410" s="201"/>
      <c r="T410" s="201"/>
      <c r="U410" s="403"/>
    </row>
    <row r="411" spans="1:22" s="62" customFormat="1" outlineLevel="2" x14ac:dyDescent="0.25">
      <c r="A411" s="193">
        <v>2212</v>
      </c>
      <c r="B411" s="193">
        <v>5909</v>
      </c>
      <c r="C411" s="193">
        <v>2490</v>
      </c>
      <c r="D411" s="193">
        <v>0</v>
      </c>
      <c r="E411" s="193">
        <v>0</v>
      </c>
      <c r="F411" s="194">
        <v>0</v>
      </c>
      <c r="G411" s="193">
        <v>0</v>
      </c>
      <c r="H411" s="193">
        <v>0</v>
      </c>
      <c r="I411" s="193">
        <v>0</v>
      </c>
      <c r="J411" s="321" t="str">
        <f t="shared" si="33"/>
        <v>2212/5909/2490/0/0/0/0/0/0</v>
      </c>
      <c r="K411" s="321" t="s">
        <v>4760</v>
      </c>
      <c r="L411" s="201"/>
      <c r="M411" s="201"/>
      <c r="N411" s="201"/>
      <c r="O411" s="201"/>
      <c r="P411" s="201">
        <v>6137758.3499999996</v>
      </c>
      <c r="Q411" s="201"/>
      <c r="R411" s="201">
        <v>111320</v>
      </c>
      <c r="S411" s="201"/>
      <c r="T411" s="201"/>
      <c r="U411" s="403"/>
      <c r="V411" s="355"/>
    </row>
    <row r="412" spans="1:22" outlineLevel="2" x14ac:dyDescent="0.25">
      <c r="A412" s="449">
        <v>3111</v>
      </c>
      <c r="B412" s="449">
        <v>5137</v>
      </c>
      <c r="C412" s="449">
        <v>2490</v>
      </c>
      <c r="D412" s="449">
        <v>12020</v>
      </c>
      <c r="E412" s="449">
        <v>0</v>
      </c>
      <c r="F412" s="449">
        <v>0</v>
      </c>
      <c r="G412" s="449">
        <v>0</v>
      </c>
      <c r="H412" s="449">
        <v>0</v>
      </c>
      <c r="I412" s="449">
        <v>0</v>
      </c>
      <c r="J412" s="321" t="str">
        <f t="shared" si="33"/>
        <v>3111/5137/2490/12020/0/0/0/0/0</v>
      </c>
      <c r="K412" s="451" t="s">
        <v>3639</v>
      </c>
      <c r="L412" s="201"/>
      <c r="M412" s="201"/>
      <c r="N412" s="201"/>
      <c r="O412" s="201"/>
      <c r="P412" s="201"/>
      <c r="Q412" s="201"/>
      <c r="R412" s="201">
        <v>461238</v>
      </c>
      <c r="S412" s="201"/>
      <c r="T412" s="201"/>
      <c r="U412" s="403"/>
    </row>
    <row r="413" spans="1:22" s="60" customFormat="1" outlineLevel="2" x14ac:dyDescent="0.25">
      <c r="A413" s="449">
        <v>2333</v>
      </c>
      <c r="B413" s="449">
        <v>5171</v>
      </c>
      <c r="C413" s="449">
        <v>2490</v>
      </c>
      <c r="D413" s="449">
        <v>25406</v>
      </c>
      <c r="E413" s="449">
        <v>0</v>
      </c>
      <c r="F413" s="449">
        <v>0</v>
      </c>
      <c r="G413" s="449">
        <v>0</v>
      </c>
      <c r="H413" s="449">
        <v>43</v>
      </c>
      <c r="I413" s="449">
        <v>0</v>
      </c>
      <c r="J413" s="321" t="str">
        <f t="shared" si="33"/>
        <v>2333/5171/2490/25406/0/0/0/43/0</v>
      </c>
      <c r="K413" s="447" t="s">
        <v>4710</v>
      </c>
      <c r="L413" s="201"/>
      <c r="M413" s="201"/>
      <c r="N413" s="201"/>
      <c r="O413" s="201"/>
      <c r="P413" s="201"/>
      <c r="Q413" s="201"/>
      <c r="R413" s="201">
        <v>55966.5</v>
      </c>
      <c r="S413" s="201"/>
      <c r="T413" s="201"/>
      <c r="U413" s="403"/>
      <c r="V413" s="111"/>
    </row>
    <row r="414" spans="1:22" outlineLevel="2" x14ac:dyDescent="0.25">
      <c r="A414" s="193">
        <v>3900</v>
      </c>
      <c r="B414" s="193">
        <v>5901</v>
      </c>
      <c r="C414" s="193">
        <v>2490</v>
      </c>
      <c r="D414" s="193">
        <v>0</v>
      </c>
      <c r="E414" s="193">
        <v>0</v>
      </c>
      <c r="F414" s="194">
        <v>0</v>
      </c>
      <c r="G414" s="193">
        <v>0</v>
      </c>
      <c r="H414" s="193">
        <v>0</v>
      </c>
      <c r="I414" s="193">
        <v>0</v>
      </c>
      <c r="J414" s="321" t="str">
        <f t="shared" si="33"/>
        <v>3900/5901/2490/0/0/0/0/0/0</v>
      </c>
      <c r="K414" s="321" t="s">
        <v>4459</v>
      </c>
      <c r="L414" s="201">
        <v>8033742.7299999995</v>
      </c>
      <c r="M414" s="201">
        <v>2687138.28</v>
      </c>
      <c r="N414" s="201">
        <v>7850484.1899999995</v>
      </c>
      <c r="O414" s="201">
        <v>1175785.54</v>
      </c>
      <c r="P414" s="201">
        <f>965170.19+582221.75</f>
        <v>1547391.94</v>
      </c>
      <c r="Q414" s="201">
        <v>200000</v>
      </c>
      <c r="R414" s="201">
        <v>700528.5</v>
      </c>
      <c r="S414" s="201">
        <f>200000-44000-9680-87120</f>
        <v>59200</v>
      </c>
      <c r="T414" s="201">
        <f>1000000-S414</f>
        <v>940800</v>
      </c>
      <c r="U414" s="403" t="s">
        <v>5105</v>
      </c>
    </row>
    <row r="415" spans="1:22" outlineLevel="2" x14ac:dyDescent="0.25">
      <c r="A415" s="193">
        <v>3639</v>
      </c>
      <c r="B415" s="193">
        <v>5164</v>
      </c>
      <c r="C415" s="193">
        <v>2490</v>
      </c>
      <c r="D415" s="193"/>
      <c r="E415" s="193"/>
      <c r="F415" s="194"/>
      <c r="G415" s="193"/>
      <c r="H415" s="193"/>
      <c r="I415" s="193"/>
      <c r="J415" s="321"/>
      <c r="K415" s="321" t="s">
        <v>5158</v>
      </c>
      <c r="L415" s="201"/>
      <c r="M415" s="201"/>
      <c r="N415" s="201"/>
      <c r="O415" s="201"/>
      <c r="P415" s="201"/>
      <c r="Q415" s="201"/>
      <c r="R415" s="201"/>
      <c r="S415" s="201">
        <v>87120</v>
      </c>
      <c r="T415" s="201"/>
      <c r="U415" s="403"/>
    </row>
    <row r="416" spans="1:22" outlineLevel="2" x14ac:dyDescent="0.25">
      <c r="A416" s="193">
        <v>3613</v>
      </c>
      <c r="B416" s="193">
        <v>5021</v>
      </c>
      <c r="C416" s="193">
        <v>2490</v>
      </c>
      <c r="D416" s="193">
        <v>11638</v>
      </c>
      <c r="E416" s="193">
        <v>0</v>
      </c>
      <c r="F416" s="194">
        <v>0</v>
      </c>
      <c r="G416" s="193">
        <v>0</v>
      </c>
      <c r="H416" s="193">
        <v>0</v>
      </c>
      <c r="I416" s="193">
        <v>0</v>
      </c>
      <c r="J416" s="321" t="str">
        <f t="shared" si="33"/>
        <v>3613/5021/2490/11638/0/0/0/0/0</v>
      </c>
      <c r="K416" s="321" t="s">
        <v>3854</v>
      </c>
      <c r="L416" s="201">
        <v>3569013</v>
      </c>
      <c r="M416" s="201">
        <v>2297194</v>
      </c>
      <c r="N416" s="201">
        <v>5433668.21</v>
      </c>
      <c r="O416" s="201">
        <v>482967.82</v>
      </c>
      <c r="P416" s="201">
        <v>495801</v>
      </c>
      <c r="Q416" s="201">
        <v>120420</v>
      </c>
      <c r="R416" s="201">
        <v>491680</v>
      </c>
      <c r="S416" s="201"/>
      <c r="T416" s="201"/>
      <c r="U416" s="403"/>
    </row>
    <row r="417" spans="1:22" outlineLevel="2" x14ac:dyDescent="0.25">
      <c r="A417" s="265">
        <v>3412</v>
      </c>
      <c r="B417" s="265">
        <v>5123</v>
      </c>
      <c r="C417" s="265">
        <v>2490</v>
      </c>
      <c r="D417" s="265">
        <v>16424</v>
      </c>
      <c r="E417" s="265">
        <v>0</v>
      </c>
      <c r="F417" s="265">
        <v>0</v>
      </c>
      <c r="G417" s="265">
        <v>0</v>
      </c>
      <c r="H417" s="265">
        <v>0</v>
      </c>
      <c r="I417" s="265">
        <v>0</v>
      </c>
      <c r="J417" s="321" t="str">
        <f t="shared" si="33"/>
        <v>3412/5123/2490/16424/0/0/0/0/0</v>
      </c>
      <c r="K417" s="238" t="s">
        <v>3877</v>
      </c>
      <c r="L417" s="201"/>
      <c r="M417" s="201"/>
      <c r="N417" s="201"/>
      <c r="O417" s="201"/>
      <c r="P417" s="201">
        <v>119793.92</v>
      </c>
      <c r="Q417" s="201"/>
      <c r="R417" s="201">
        <v>18102</v>
      </c>
      <c r="S417" s="201"/>
      <c r="T417" s="201"/>
      <c r="U417" s="403"/>
    </row>
    <row r="418" spans="1:22" outlineLevel="2" x14ac:dyDescent="0.25">
      <c r="A418" s="187">
        <v>3613</v>
      </c>
      <c r="B418" s="187">
        <v>5171</v>
      </c>
      <c r="C418" s="187">
        <v>2490</v>
      </c>
      <c r="D418" s="187">
        <v>11749</v>
      </c>
      <c r="E418" s="265"/>
      <c r="F418" s="265"/>
      <c r="G418" s="265"/>
      <c r="H418" s="265"/>
      <c r="I418" s="265"/>
      <c r="J418" s="321"/>
      <c r="K418" s="238" t="s">
        <v>5104</v>
      </c>
      <c r="L418" s="201"/>
      <c r="M418" s="201"/>
      <c r="N418" s="201"/>
      <c r="O418" s="201"/>
      <c r="P418" s="201"/>
      <c r="Q418" s="201"/>
      <c r="R418" s="201"/>
      <c r="S418" s="201">
        <v>9680</v>
      </c>
      <c r="T418" s="201"/>
      <c r="U418" s="403"/>
    </row>
    <row r="419" spans="1:22" outlineLevel="2" x14ac:dyDescent="0.25">
      <c r="A419" s="187">
        <v>3613</v>
      </c>
      <c r="B419" s="187">
        <v>5169</v>
      </c>
      <c r="C419" s="187">
        <v>2490</v>
      </c>
      <c r="D419" s="187">
        <v>11749</v>
      </c>
      <c r="E419" s="193">
        <v>0</v>
      </c>
      <c r="F419" s="194">
        <v>0</v>
      </c>
      <c r="G419" s="193">
        <v>0</v>
      </c>
      <c r="H419" s="196">
        <v>34</v>
      </c>
      <c r="I419" s="196">
        <v>0</v>
      </c>
      <c r="J419" s="328" t="str">
        <f t="shared" si="33"/>
        <v>3613/5169/2490/11749/0/0/0/34/0</v>
      </c>
      <c r="K419" s="328" t="s">
        <v>4425</v>
      </c>
      <c r="L419" s="349"/>
      <c r="M419" s="349"/>
      <c r="N419" s="349"/>
      <c r="O419" s="349"/>
      <c r="P419" s="349"/>
      <c r="Q419" s="349">
        <v>59290</v>
      </c>
      <c r="R419" s="349">
        <v>137650</v>
      </c>
      <c r="S419" s="349">
        <v>44000</v>
      </c>
      <c r="T419" s="349"/>
      <c r="U419" s="547"/>
    </row>
    <row r="420" spans="1:22" outlineLevel="2" x14ac:dyDescent="0.25">
      <c r="A420" s="187">
        <v>3745</v>
      </c>
      <c r="B420" s="187">
        <v>5169</v>
      </c>
      <c r="C420" s="187">
        <v>2490</v>
      </c>
      <c r="D420" s="187">
        <v>20635</v>
      </c>
      <c r="E420" s="193">
        <v>0</v>
      </c>
      <c r="F420" s="194">
        <v>0</v>
      </c>
      <c r="G420" s="193">
        <v>0</v>
      </c>
      <c r="H420" s="196">
        <v>34</v>
      </c>
      <c r="I420" s="196">
        <v>0</v>
      </c>
      <c r="J420" s="328" t="str">
        <f t="shared" si="33"/>
        <v>3745/5169/2490/20635/0/0/0/34/0</v>
      </c>
      <c r="K420" s="328" t="s">
        <v>4426</v>
      </c>
      <c r="L420" s="349"/>
      <c r="M420" s="349"/>
      <c r="N420" s="349"/>
      <c r="O420" s="349"/>
      <c r="P420" s="349"/>
      <c r="Q420" s="349">
        <v>6050</v>
      </c>
      <c r="R420" s="349">
        <v>6050</v>
      </c>
      <c r="S420" s="349"/>
      <c r="T420" s="349"/>
      <c r="U420" s="547"/>
    </row>
    <row r="421" spans="1:22" outlineLevel="1" x14ac:dyDescent="0.25">
      <c r="A421" s="492"/>
      <c r="B421" s="492"/>
      <c r="C421" s="508" t="s">
        <v>4673</v>
      </c>
      <c r="D421" s="492"/>
      <c r="E421" s="491"/>
      <c r="F421" s="492"/>
      <c r="G421" s="491"/>
      <c r="H421" s="492"/>
      <c r="I421" s="492"/>
      <c r="J421" s="493">
        <v>2490</v>
      </c>
      <c r="K421" s="493" t="str">
        <f>VLOOKUP(J421,orJ_správce_telefon_mail!A:B,2,0)</f>
        <v>Odbor investic - Ing. Králik</v>
      </c>
      <c r="L421" s="494">
        <f t="shared" ref="L421:T421" si="34">SUBTOTAL(9,L410:L420)</f>
        <v>11602755.73</v>
      </c>
      <c r="M421" s="494">
        <f t="shared" si="34"/>
        <v>4984332.2799999993</v>
      </c>
      <c r="N421" s="494">
        <f t="shared" si="34"/>
        <v>13284152.399999999</v>
      </c>
      <c r="O421" s="494">
        <f t="shared" si="34"/>
        <v>1658753.36</v>
      </c>
      <c r="P421" s="494">
        <f t="shared" si="34"/>
        <v>8300745.209999999</v>
      </c>
      <c r="Q421" s="494">
        <f t="shared" si="34"/>
        <v>385760</v>
      </c>
      <c r="R421" s="494">
        <f t="shared" si="34"/>
        <v>2122090</v>
      </c>
      <c r="S421" s="494">
        <f t="shared" si="34"/>
        <v>200000</v>
      </c>
      <c r="T421" s="494">
        <f t="shared" si="34"/>
        <v>940800</v>
      </c>
      <c r="U421" s="541"/>
    </row>
    <row r="422" spans="1:22" s="59" customFormat="1" outlineLevel="2" x14ac:dyDescent="0.25">
      <c r="A422" s="193">
        <v>3769</v>
      </c>
      <c r="B422" s="193">
        <v>5169</v>
      </c>
      <c r="C422" s="193">
        <v>2500</v>
      </c>
      <c r="D422" s="193">
        <v>45007</v>
      </c>
      <c r="E422" s="193">
        <v>0</v>
      </c>
      <c r="F422" s="194">
        <v>0</v>
      </c>
      <c r="G422" s="193">
        <v>0</v>
      </c>
      <c r="H422" s="193">
        <v>0</v>
      </c>
      <c r="I422" s="193">
        <v>0</v>
      </c>
      <c r="J422" s="321" t="str">
        <f t="shared" ref="J422:J432" si="35">CONCATENATE(A422,"/",B422,"/",C422,"/",D422,"/",E422,"/",F422,"/",G422,"/",H422,"/",I422)</f>
        <v>3769/5169/2500/45007/0/0/0/0/0</v>
      </c>
      <c r="K422" s="321" t="s">
        <v>386</v>
      </c>
      <c r="L422" s="201">
        <v>3000</v>
      </c>
      <c r="M422" s="201">
        <v>3000</v>
      </c>
      <c r="N422" s="201"/>
      <c r="O422" s="201"/>
      <c r="P422" s="201">
        <v>3000</v>
      </c>
      <c r="Q422" s="201">
        <v>3000</v>
      </c>
      <c r="R422" s="201">
        <v>3000</v>
      </c>
      <c r="S422" s="201">
        <v>3000</v>
      </c>
      <c r="T422" s="201"/>
      <c r="U422" s="403"/>
      <c r="V422" s="351"/>
    </row>
    <row r="423" spans="1:22" outlineLevel="2" x14ac:dyDescent="0.25">
      <c r="A423" s="193">
        <v>3733</v>
      </c>
      <c r="B423" s="193">
        <v>5136</v>
      </c>
      <c r="C423" s="193">
        <v>2500</v>
      </c>
      <c r="D423" s="193">
        <v>0</v>
      </c>
      <c r="E423" s="193">
        <v>0</v>
      </c>
      <c r="F423" s="194">
        <v>0</v>
      </c>
      <c r="G423" s="193">
        <v>0</v>
      </c>
      <c r="H423" s="193">
        <v>0</v>
      </c>
      <c r="I423" s="193">
        <v>0</v>
      </c>
      <c r="J423" s="321" t="str">
        <f t="shared" si="35"/>
        <v>3733/5136/2500/0/0/0/0/0/0</v>
      </c>
      <c r="K423" s="321" t="s">
        <v>387</v>
      </c>
      <c r="L423" s="201">
        <v>0</v>
      </c>
      <c r="M423" s="201"/>
      <c r="N423" s="201"/>
      <c r="O423" s="201"/>
      <c r="P423" s="201"/>
      <c r="Q423" s="201">
        <v>2000</v>
      </c>
      <c r="R423" s="201">
        <v>2000</v>
      </c>
      <c r="S423" s="201">
        <v>2000</v>
      </c>
      <c r="T423" s="201"/>
      <c r="U423" s="403"/>
    </row>
    <row r="424" spans="1:22" outlineLevel="2" x14ac:dyDescent="0.25">
      <c r="A424" s="193">
        <v>3733</v>
      </c>
      <c r="B424" s="193">
        <v>5166</v>
      </c>
      <c r="C424" s="193">
        <v>2500</v>
      </c>
      <c r="D424" s="193">
        <v>0</v>
      </c>
      <c r="E424" s="193">
        <v>0</v>
      </c>
      <c r="F424" s="194">
        <v>0</v>
      </c>
      <c r="G424" s="193">
        <v>0</v>
      </c>
      <c r="H424" s="193">
        <v>0</v>
      </c>
      <c r="I424" s="193">
        <v>0</v>
      </c>
      <c r="J424" s="321" t="str">
        <f t="shared" si="35"/>
        <v>3733/5166/2500/0/0/0/0/0/0</v>
      </c>
      <c r="K424" s="321" t="s">
        <v>388</v>
      </c>
      <c r="L424" s="201">
        <v>16335</v>
      </c>
      <c r="M424" s="201"/>
      <c r="N424" s="201"/>
      <c r="O424" s="201"/>
      <c r="P424" s="201"/>
      <c r="Q424" s="201">
        <v>28000</v>
      </c>
      <c r="R424" s="201">
        <v>28000</v>
      </c>
      <c r="S424" s="201">
        <v>65000</v>
      </c>
      <c r="T424" s="201"/>
      <c r="U424" s="403"/>
    </row>
    <row r="425" spans="1:22" s="59" customFormat="1" outlineLevel="2" x14ac:dyDescent="0.25">
      <c r="A425" s="193">
        <v>3769</v>
      </c>
      <c r="B425" s="193">
        <v>5139</v>
      </c>
      <c r="C425" s="193">
        <v>2500</v>
      </c>
      <c r="D425" s="193">
        <v>0</v>
      </c>
      <c r="E425" s="193">
        <v>0</v>
      </c>
      <c r="F425" s="194">
        <v>0</v>
      </c>
      <c r="G425" s="193">
        <v>0</v>
      </c>
      <c r="H425" s="193">
        <v>0</v>
      </c>
      <c r="I425" s="193">
        <v>0</v>
      </c>
      <c r="J425" s="321" t="str">
        <f t="shared" si="35"/>
        <v>3769/5139/2500/0/0/0/0/0/0</v>
      </c>
      <c r="K425" s="321" t="s">
        <v>4932</v>
      </c>
      <c r="L425" s="201"/>
      <c r="M425" s="201"/>
      <c r="N425" s="201"/>
      <c r="O425" s="201"/>
      <c r="P425" s="201"/>
      <c r="Q425" s="201">
        <v>60000</v>
      </c>
      <c r="R425" s="201">
        <v>60000</v>
      </c>
      <c r="S425" s="201">
        <v>114200</v>
      </c>
      <c r="T425" s="201"/>
      <c r="U425" s="403"/>
      <c r="V425" s="351"/>
    </row>
    <row r="426" spans="1:22" outlineLevel="2" x14ac:dyDescent="0.25">
      <c r="A426" s="193">
        <v>3741</v>
      </c>
      <c r="B426" s="193">
        <v>5169</v>
      </c>
      <c r="C426" s="193">
        <v>2500</v>
      </c>
      <c r="D426" s="193">
        <v>0</v>
      </c>
      <c r="E426" s="193">
        <v>0</v>
      </c>
      <c r="F426" s="194">
        <v>0</v>
      </c>
      <c r="G426" s="193">
        <v>0</v>
      </c>
      <c r="H426" s="193">
        <v>0</v>
      </c>
      <c r="I426" s="193">
        <v>0</v>
      </c>
      <c r="J426" s="321" t="str">
        <f t="shared" si="35"/>
        <v>3741/5169/2500/0/0/0/0/0/0</v>
      </c>
      <c r="K426" s="321" t="s">
        <v>389</v>
      </c>
      <c r="L426" s="201">
        <v>1053</v>
      </c>
      <c r="M426" s="201"/>
      <c r="N426" s="201"/>
      <c r="O426" s="201"/>
      <c r="P426" s="201"/>
      <c r="Q426" s="201">
        <v>35000</v>
      </c>
      <c r="R426" s="201">
        <v>35000</v>
      </c>
      <c r="S426" s="201">
        <v>35000</v>
      </c>
      <c r="T426" s="201"/>
      <c r="U426" s="403"/>
    </row>
    <row r="427" spans="1:22" s="59" customFormat="1" outlineLevel="2" x14ac:dyDescent="0.25">
      <c r="A427" s="193">
        <v>3733</v>
      </c>
      <c r="B427" s="193">
        <v>5169</v>
      </c>
      <c r="C427" s="193">
        <v>2500</v>
      </c>
      <c r="D427" s="193">
        <v>0</v>
      </c>
      <c r="E427" s="193">
        <v>0</v>
      </c>
      <c r="F427" s="194">
        <v>0</v>
      </c>
      <c r="G427" s="193">
        <v>0</v>
      </c>
      <c r="H427" s="193">
        <v>0</v>
      </c>
      <c r="I427" s="193">
        <v>0</v>
      </c>
      <c r="J427" s="321" t="str">
        <f t="shared" si="35"/>
        <v>3733/5169/2500/0/0/0/0/0/0</v>
      </c>
      <c r="K427" s="321" t="s">
        <v>390</v>
      </c>
      <c r="L427" s="201">
        <v>0</v>
      </c>
      <c r="M427" s="201"/>
      <c r="N427" s="201">
        <v>514813.25</v>
      </c>
      <c r="O427" s="201">
        <v>4840</v>
      </c>
      <c r="P427" s="201">
        <v>8010</v>
      </c>
      <c r="Q427" s="201">
        <v>40000</v>
      </c>
      <c r="R427" s="201">
        <v>40000</v>
      </c>
      <c r="S427" s="201">
        <v>50000</v>
      </c>
      <c r="T427" s="201"/>
      <c r="U427" s="403"/>
      <c r="V427" s="351"/>
    </row>
    <row r="428" spans="1:22" s="59" customFormat="1" outlineLevel="2" x14ac:dyDescent="0.25">
      <c r="A428" s="196">
        <v>3799</v>
      </c>
      <c r="B428" s="196">
        <v>5166</v>
      </c>
      <c r="C428" s="196">
        <v>2500</v>
      </c>
      <c r="D428" s="196">
        <v>21007</v>
      </c>
      <c r="E428" s="196">
        <v>0</v>
      </c>
      <c r="F428" s="196">
        <v>0</v>
      </c>
      <c r="G428" s="196">
        <v>0</v>
      </c>
      <c r="H428" s="196">
        <v>0</v>
      </c>
      <c r="I428" s="196">
        <v>0</v>
      </c>
      <c r="J428" s="328" t="str">
        <f t="shared" si="35"/>
        <v>3799/5166/2500/21007/0/0/0/0/0</v>
      </c>
      <c r="K428" s="328" t="s">
        <v>3734</v>
      </c>
      <c r="L428" s="349"/>
      <c r="M428" s="349">
        <v>83490</v>
      </c>
      <c r="N428" s="349">
        <v>105270</v>
      </c>
      <c r="O428" s="349"/>
      <c r="P428" s="349">
        <v>6534</v>
      </c>
      <c r="Q428" s="349">
        <v>101200</v>
      </c>
      <c r="R428" s="349"/>
      <c r="S428" s="349"/>
      <c r="T428" s="349"/>
      <c r="U428" s="547"/>
      <c r="V428" s="351"/>
    </row>
    <row r="429" spans="1:22" outlineLevel="2" x14ac:dyDescent="0.25">
      <c r="A429" s="256">
        <v>3799</v>
      </c>
      <c r="B429" s="256">
        <v>5166</v>
      </c>
      <c r="C429" s="256">
        <v>2500</v>
      </c>
      <c r="D429" s="256">
        <v>21007</v>
      </c>
      <c r="E429" s="256">
        <v>0</v>
      </c>
      <c r="F429" s="256">
        <v>15011</v>
      </c>
      <c r="G429" s="256">
        <v>1065</v>
      </c>
      <c r="H429" s="256">
        <v>0</v>
      </c>
      <c r="I429" s="256">
        <v>0</v>
      </c>
      <c r="J429" s="332" t="str">
        <f t="shared" si="35"/>
        <v>3799/5166/2500/21007/0/15011/1065/0/0</v>
      </c>
      <c r="K429" s="332" t="s">
        <v>3734</v>
      </c>
      <c r="L429" s="353"/>
      <c r="M429" s="353"/>
      <c r="N429" s="353"/>
      <c r="O429" s="353">
        <v>273460</v>
      </c>
      <c r="P429" s="353">
        <v>1319626</v>
      </c>
      <c r="Q429" s="353">
        <v>290040</v>
      </c>
      <c r="R429" s="353">
        <v>1545751.82</v>
      </c>
      <c r="S429" s="353"/>
      <c r="T429" s="353"/>
      <c r="U429" s="545"/>
    </row>
    <row r="430" spans="1:22" outlineLevel="2" x14ac:dyDescent="0.25">
      <c r="A430" s="193">
        <v>3741</v>
      </c>
      <c r="B430" s="193">
        <v>5169</v>
      </c>
      <c r="C430" s="193">
        <v>2500</v>
      </c>
      <c r="D430" s="193">
        <v>45001</v>
      </c>
      <c r="E430" s="193">
        <v>0</v>
      </c>
      <c r="F430" s="194">
        <v>0</v>
      </c>
      <c r="G430" s="193">
        <v>0</v>
      </c>
      <c r="H430" s="193">
        <v>0</v>
      </c>
      <c r="I430" s="193">
        <v>0</v>
      </c>
      <c r="J430" s="321" t="str">
        <f t="shared" si="35"/>
        <v>3741/5169/2500/45001/0/0/0/0/0</v>
      </c>
      <c r="K430" s="321" t="s">
        <v>391</v>
      </c>
      <c r="L430" s="201">
        <v>15000</v>
      </c>
      <c r="M430" s="201">
        <v>15000</v>
      </c>
      <c r="N430" s="201">
        <v>15000</v>
      </c>
      <c r="O430" s="201">
        <v>15000</v>
      </c>
      <c r="P430" s="201">
        <v>15000</v>
      </c>
      <c r="Q430" s="201">
        <v>15000</v>
      </c>
      <c r="R430" s="201">
        <v>15000</v>
      </c>
      <c r="S430" s="201">
        <v>15000</v>
      </c>
      <c r="T430" s="201"/>
      <c r="U430" s="403"/>
    </row>
    <row r="431" spans="1:22" outlineLevel="2" x14ac:dyDescent="0.25">
      <c r="A431" s="193">
        <v>3744</v>
      </c>
      <c r="B431" s="193">
        <v>5169</v>
      </c>
      <c r="C431" s="193">
        <v>2500</v>
      </c>
      <c r="D431" s="193">
        <v>53330</v>
      </c>
      <c r="E431" s="193">
        <v>0</v>
      </c>
      <c r="F431" s="194">
        <v>0</v>
      </c>
      <c r="G431" s="193">
        <v>0</v>
      </c>
      <c r="H431" s="193">
        <v>0</v>
      </c>
      <c r="I431" s="193">
        <v>0</v>
      </c>
      <c r="J431" s="321" t="str">
        <f t="shared" si="35"/>
        <v>3744/5169/2500/53330/0/0/0/0/0</v>
      </c>
      <c r="K431" s="321" t="s">
        <v>392</v>
      </c>
      <c r="L431" s="201">
        <v>14520</v>
      </c>
      <c r="M431" s="201">
        <v>14520</v>
      </c>
      <c r="N431" s="201">
        <v>14520</v>
      </c>
      <c r="O431" s="201">
        <v>14520</v>
      </c>
      <c r="P431" s="201">
        <v>14520</v>
      </c>
      <c r="Q431" s="201">
        <v>15000</v>
      </c>
      <c r="R431" s="201">
        <v>15000</v>
      </c>
      <c r="S431" s="201">
        <v>15000</v>
      </c>
      <c r="T431" s="201"/>
      <c r="U431" s="403"/>
    </row>
    <row r="432" spans="1:22" s="59" customFormat="1" outlineLevel="2" x14ac:dyDescent="0.25">
      <c r="A432" s="193">
        <v>0</v>
      </c>
      <c r="B432" s="193">
        <v>5000</v>
      </c>
      <c r="C432" s="193">
        <v>2500</v>
      </c>
      <c r="D432" s="193">
        <v>0</v>
      </c>
      <c r="E432" s="193">
        <v>0</v>
      </c>
      <c r="F432" s="194">
        <v>0</v>
      </c>
      <c r="G432" s="193">
        <v>0</v>
      </c>
      <c r="H432" s="193">
        <v>0</v>
      </c>
      <c r="I432" s="193">
        <v>0</v>
      </c>
      <c r="J432" s="321" t="str">
        <f t="shared" si="35"/>
        <v>0/5000/2500/0/0/0/0/0/0</v>
      </c>
      <c r="K432" s="321" t="s">
        <v>393</v>
      </c>
      <c r="L432" s="201">
        <v>10000</v>
      </c>
      <c r="M432" s="201"/>
      <c r="N432" s="201"/>
      <c r="O432" s="201"/>
      <c r="P432" s="201">
        <v>722588</v>
      </c>
      <c r="Q432" s="201"/>
      <c r="R432" s="201"/>
      <c r="S432" s="201"/>
      <c r="T432" s="201"/>
      <c r="U432" s="403"/>
      <c r="V432" s="351"/>
    </row>
    <row r="433" spans="1:22" s="59" customFormat="1" outlineLevel="1" x14ac:dyDescent="0.25">
      <c r="A433" s="491"/>
      <c r="B433" s="491"/>
      <c r="C433" s="499" t="s">
        <v>4674</v>
      </c>
      <c r="D433" s="491"/>
      <c r="E433" s="491"/>
      <c r="F433" s="492"/>
      <c r="G433" s="491"/>
      <c r="H433" s="491"/>
      <c r="I433" s="491"/>
      <c r="J433" s="493">
        <v>2500</v>
      </c>
      <c r="K433" s="493" t="str">
        <f>VLOOKUP(J433,orJ_správce_telefon_mail!A:B,2,0)</f>
        <v>Odbor životního prostředí - Mgr. Kristýna Kosová</v>
      </c>
      <c r="L433" s="494">
        <f t="shared" ref="L433:T433" si="36">SUBTOTAL(9,L422:L432)</f>
        <v>59908</v>
      </c>
      <c r="M433" s="494">
        <f t="shared" si="36"/>
        <v>116010</v>
      </c>
      <c r="N433" s="494">
        <f t="shared" si="36"/>
        <v>649603.25</v>
      </c>
      <c r="O433" s="494">
        <f t="shared" si="36"/>
        <v>307820</v>
      </c>
      <c r="P433" s="494">
        <f t="shared" si="36"/>
        <v>2089278</v>
      </c>
      <c r="Q433" s="494">
        <f t="shared" si="36"/>
        <v>589240</v>
      </c>
      <c r="R433" s="494">
        <f t="shared" si="36"/>
        <v>1743751.82</v>
      </c>
      <c r="S433" s="494">
        <f t="shared" si="36"/>
        <v>299200</v>
      </c>
      <c r="T433" s="494">
        <f t="shared" si="36"/>
        <v>0</v>
      </c>
      <c r="U433" s="541"/>
      <c r="V433" s="351"/>
    </row>
    <row r="434" spans="1:22" s="59" customFormat="1" outlineLevel="2" x14ac:dyDescent="0.25">
      <c r="A434" s="193">
        <v>3699</v>
      </c>
      <c r="B434" s="193">
        <v>5169</v>
      </c>
      <c r="C434" s="193">
        <v>2600</v>
      </c>
      <c r="D434" s="193">
        <v>0</v>
      </c>
      <c r="E434" s="193">
        <v>0</v>
      </c>
      <c r="F434" s="194">
        <v>0</v>
      </c>
      <c r="G434" s="193">
        <v>0</v>
      </c>
      <c r="H434" s="193">
        <v>0</v>
      </c>
      <c r="I434" s="193">
        <v>0</v>
      </c>
      <c r="J434" s="321" t="str">
        <f>CONCATENATE(A434,"/",B434,"/",C434,"/",D434,"/",E434,"/",F434,"/",G434,"/",H434,"/",I434)</f>
        <v>3699/5169/2600/0/0/0/0/0/0</v>
      </c>
      <c r="K434" s="321" t="s">
        <v>4883</v>
      </c>
      <c r="L434" s="201"/>
      <c r="M434" s="201"/>
      <c r="N434" s="201"/>
      <c r="O434" s="201"/>
      <c r="P434" s="201"/>
      <c r="Q434" s="201"/>
      <c r="R434" s="201"/>
      <c r="S434" s="201">
        <v>10000</v>
      </c>
      <c r="T434" s="201"/>
      <c r="U434" s="403"/>
      <c r="V434" s="351"/>
    </row>
    <row r="435" spans="1:22" s="59" customFormat="1" outlineLevel="2" x14ac:dyDescent="0.25">
      <c r="A435" s="193">
        <v>3635</v>
      </c>
      <c r="B435" s="193">
        <v>5166</v>
      </c>
      <c r="C435" s="193">
        <v>2600</v>
      </c>
      <c r="D435" s="193">
        <v>0</v>
      </c>
      <c r="E435" s="193">
        <v>0</v>
      </c>
      <c r="F435" s="194">
        <v>0</v>
      </c>
      <c r="G435" s="193">
        <v>0</v>
      </c>
      <c r="H435" s="193">
        <v>0</v>
      </c>
      <c r="I435" s="193">
        <v>0</v>
      </c>
      <c r="J435" s="321" t="str">
        <f>CONCATENATE(A435,"/",B435,"/",C435,"/",D435,"/",E435,"/",F435,"/",G435,"/",H435,"/",I435)</f>
        <v>3635/5166/2600/0/0/0/0/0/0</v>
      </c>
      <c r="K435" s="321" t="s">
        <v>394</v>
      </c>
      <c r="L435" s="201">
        <v>0</v>
      </c>
      <c r="M435" s="201">
        <v>15246</v>
      </c>
      <c r="N435" s="201"/>
      <c r="O435" s="201">
        <v>150000</v>
      </c>
      <c r="P435" s="201">
        <v>50000</v>
      </c>
      <c r="Q435" s="201">
        <v>380000</v>
      </c>
      <c r="R435" s="201">
        <v>388929.8</v>
      </c>
      <c r="S435" s="201">
        <v>100000</v>
      </c>
      <c r="T435" s="201"/>
      <c r="U435" s="403"/>
      <c r="V435" s="351"/>
    </row>
    <row r="436" spans="1:22" s="59" customFormat="1" outlineLevel="2" x14ac:dyDescent="0.25">
      <c r="A436" s="194">
        <v>3635</v>
      </c>
      <c r="B436" s="194">
        <v>5166</v>
      </c>
      <c r="C436" s="194">
        <v>2600</v>
      </c>
      <c r="D436" s="194">
        <v>0</v>
      </c>
      <c r="E436" s="194">
        <v>0</v>
      </c>
      <c r="F436" s="194">
        <v>0</v>
      </c>
      <c r="G436" s="194">
        <v>0</v>
      </c>
      <c r="H436" s="194">
        <v>1</v>
      </c>
      <c r="I436" s="194">
        <v>0</v>
      </c>
      <c r="J436" s="320" t="str">
        <f>CONCATENATE(A436,"/",B436,"/",C436,"/",D436,"/",E436,"/",F436,"/",G436,"/",H436,"/",I436)</f>
        <v>3635/5166/2600/0/0/0/0/1/0</v>
      </c>
      <c r="K436" s="320" t="s">
        <v>4933</v>
      </c>
      <c r="L436" s="201"/>
      <c r="M436" s="201"/>
      <c r="N436" s="201">
        <v>242000</v>
      </c>
      <c r="O436" s="201"/>
      <c r="P436" s="201">
        <v>62400</v>
      </c>
      <c r="Q436" s="201"/>
      <c r="R436" s="201"/>
      <c r="S436" s="201">
        <v>200000</v>
      </c>
      <c r="T436" s="201"/>
      <c r="U436" s="403"/>
      <c r="V436" s="351"/>
    </row>
    <row r="437" spans="1:22" outlineLevel="2" x14ac:dyDescent="0.25">
      <c r="A437" s="193">
        <v>3635</v>
      </c>
      <c r="B437" s="193">
        <v>5169</v>
      </c>
      <c r="C437" s="193">
        <v>2600</v>
      </c>
      <c r="D437" s="193">
        <v>0</v>
      </c>
      <c r="E437" s="193">
        <v>0</v>
      </c>
      <c r="F437" s="194">
        <v>0</v>
      </c>
      <c r="G437" s="193">
        <v>0</v>
      </c>
      <c r="H437" s="193">
        <v>0</v>
      </c>
      <c r="I437" s="193">
        <v>0</v>
      </c>
      <c r="J437" s="321" t="str">
        <f>CONCATENATE(A437,"/",B437,"/",C437,"/",D437,"/",E437,"/",F437,"/",G437,"/",H437,"/",I437)</f>
        <v>3635/5169/2600/0/0/0/0/0/0</v>
      </c>
      <c r="K437" s="321" t="s">
        <v>395</v>
      </c>
      <c r="L437" s="201">
        <v>0</v>
      </c>
      <c r="M437" s="201">
        <v>18150</v>
      </c>
      <c r="N437" s="201">
        <v>19326.599999999999</v>
      </c>
      <c r="O437" s="201">
        <v>7260</v>
      </c>
      <c r="P437" s="201">
        <v>7260</v>
      </c>
      <c r="Q437" s="201">
        <v>70000</v>
      </c>
      <c r="R437" s="201">
        <v>70000</v>
      </c>
      <c r="S437" s="201">
        <v>70000</v>
      </c>
      <c r="T437" s="201"/>
      <c r="U437" s="403"/>
    </row>
    <row r="438" spans="1:22" outlineLevel="1" x14ac:dyDescent="0.25">
      <c r="A438" s="491"/>
      <c r="B438" s="491"/>
      <c r="C438" s="499" t="s">
        <v>5012</v>
      </c>
      <c r="D438" s="491"/>
      <c r="E438" s="491"/>
      <c r="F438" s="492"/>
      <c r="G438" s="491"/>
      <c r="H438" s="491"/>
      <c r="I438" s="491"/>
      <c r="J438" s="493">
        <v>2600</v>
      </c>
      <c r="K438" s="493" t="str">
        <f>VLOOKUP(J438,orJ_správce_telefon_mail!A:B,2,0)</f>
        <v>Oddělení regionálního rozvoje a územního plánování - Mgr. Věra Klimentová</v>
      </c>
      <c r="L438" s="494">
        <f t="shared" ref="L438:T438" si="37">SUBTOTAL(9,L434:L437)</f>
        <v>0</v>
      </c>
      <c r="M438" s="494">
        <f t="shared" si="37"/>
        <v>33396</v>
      </c>
      <c r="N438" s="494">
        <f t="shared" si="37"/>
        <v>261326.6</v>
      </c>
      <c r="O438" s="494">
        <f t="shared" si="37"/>
        <v>157260</v>
      </c>
      <c r="P438" s="494">
        <f t="shared" si="37"/>
        <v>119660</v>
      </c>
      <c r="Q438" s="494">
        <f t="shared" si="37"/>
        <v>450000</v>
      </c>
      <c r="R438" s="494">
        <f t="shared" si="37"/>
        <v>458929.8</v>
      </c>
      <c r="S438" s="494">
        <f t="shared" si="37"/>
        <v>380000</v>
      </c>
      <c r="T438" s="494">
        <f t="shared" si="37"/>
        <v>0</v>
      </c>
      <c r="U438" s="541"/>
    </row>
    <row r="439" spans="1:22" outlineLevel="2" x14ac:dyDescent="0.25">
      <c r="A439" s="187">
        <v>6310</v>
      </c>
      <c r="B439" s="187">
        <v>5163</v>
      </c>
      <c r="C439" s="194">
        <v>2698</v>
      </c>
      <c r="D439" s="187">
        <v>0</v>
      </c>
      <c r="E439" s="187">
        <v>0</v>
      </c>
      <c r="F439" s="187">
        <v>0</v>
      </c>
      <c r="G439" s="187">
        <v>0</v>
      </c>
      <c r="H439" s="187">
        <v>0</v>
      </c>
      <c r="I439" s="187">
        <v>0</v>
      </c>
      <c r="J439" s="327" t="str">
        <f>CONCATENATE(A439,"/",B439,"/",C439,"/",D439,"/",E439,"/",F439,"/",G439,"/",H439,"/",I439)</f>
        <v>6310/5163/2698/0/0/0/0/0/0</v>
      </c>
      <c r="K439" s="327" t="s">
        <v>4446</v>
      </c>
      <c r="L439" s="200"/>
      <c r="M439" s="200"/>
      <c r="N439" s="200"/>
      <c r="O439" s="200"/>
      <c r="P439" s="200">
        <v>40</v>
      </c>
      <c r="Q439" s="200">
        <v>1500</v>
      </c>
      <c r="R439" s="200">
        <v>1500</v>
      </c>
      <c r="S439" s="200">
        <v>0</v>
      </c>
      <c r="T439" s="200"/>
      <c r="U439" s="403"/>
    </row>
    <row r="440" spans="1:22" s="59" customFormat="1" outlineLevel="2" x14ac:dyDescent="0.25">
      <c r="A440" s="187">
        <v>3639</v>
      </c>
      <c r="B440" s="187">
        <v>5901</v>
      </c>
      <c r="C440" s="194">
        <v>2698</v>
      </c>
      <c r="D440" s="187">
        <v>0</v>
      </c>
      <c r="E440" s="187">
        <v>0</v>
      </c>
      <c r="F440" s="187">
        <v>0</v>
      </c>
      <c r="G440" s="187">
        <v>0</v>
      </c>
      <c r="H440" s="187">
        <v>0</v>
      </c>
      <c r="I440" s="187">
        <v>0</v>
      </c>
      <c r="J440" s="327" t="str">
        <f>CONCATENATE(A440,"/",B440,"/",C440,"/",D440,"/",E440,"/",F440,"/",G440,"/",H440,"/",I440)</f>
        <v>3639/5901/2698/0/0/0/0/0/0</v>
      </c>
      <c r="K440" s="327" t="s">
        <v>4447</v>
      </c>
      <c r="L440" s="200"/>
      <c r="M440" s="200"/>
      <c r="N440" s="200"/>
      <c r="O440" s="200"/>
      <c r="P440" s="200"/>
      <c r="Q440" s="200">
        <v>0</v>
      </c>
      <c r="R440" s="200"/>
      <c r="S440" s="200"/>
      <c r="T440" s="200"/>
      <c r="U440" s="403"/>
      <c r="V440" s="351"/>
    </row>
    <row r="441" spans="1:22" s="59" customFormat="1" outlineLevel="1" x14ac:dyDescent="0.25">
      <c r="A441" s="492"/>
      <c r="B441" s="492"/>
      <c r="C441" s="508" t="s">
        <v>4675</v>
      </c>
      <c r="D441" s="492"/>
      <c r="E441" s="492"/>
      <c r="F441" s="492"/>
      <c r="G441" s="492"/>
      <c r="H441" s="492"/>
      <c r="I441" s="492"/>
      <c r="J441" s="493">
        <v>2698</v>
      </c>
      <c r="K441" s="493" t="str">
        <f>VLOOKUP(J441,orJ_správce_telefon_mail!A:B,2,0)</f>
        <v>Fond pro správu a údržbu infrastruktury města Kutná Hora - spadá pod Oddělení reg.rozvoje</v>
      </c>
      <c r="L441" s="494">
        <f t="shared" ref="L441:T441" si="38">SUBTOTAL(9,L439:L440)</f>
        <v>0</v>
      </c>
      <c r="M441" s="494">
        <f t="shared" si="38"/>
        <v>0</v>
      </c>
      <c r="N441" s="494">
        <f t="shared" si="38"/>
        <v>0</v>
      </c>
      <c r="O441" s="494">
        <f t="shared" si="38"/>
        <v>0</v>
      </c>
      <c r="P441" s="494">
        <f t="shared" si="38"/>
        <v>40</v>
      </c>
      <c r="Q441" s="494">
        <f t="shared" si="38"/>
        <v>1500</v>
      </c>
      <c r="R441" s="494">
        <f t="shared" si="38"/>
        <v>1500</v>
      </c>
      <c r="S441" s="494">
        <f t="shared" si="38"/>
        <v>0</v>
      </c>
      <c r="T441" s="494">
        <f t="shared" si="38"/>
        <v>0</v>
      </c>
      <c r="U441" s="541"/>
      <c r="V441" s="351"/>
    </row>
    <row r="442" spans="1:22" outlineLevel="2" x14ac:dyDescent="0.25">
      <c r="A442" s="193">
        <v>3612</v>
      </c>
      <c r="B442" s="193">
        <v>5163</v>
      </c>
      <c r="C442" s="193">
        <v>2699</v>
      </c>
      <c r="D442" s="193">
        <v>0</v>
      </c>
      <c r="E442" s="193">
        <v>0</v>
      </c>
      <c r="F442" s="194">
        <v>0</v>
      </c>
      <c r="G442" s="193">
        <v>0</v>
      </c>
      <c r="H442" s="193">
        <v>0</v>
      </c>
      <c r="I442" s="193">
        <v>0</v>
      </c>
      <c r="J442" s="321" t="str">
        <f>CONCATENATE(A442,"/",B442,"/",C442,"/",D442,"/",E442,"/",F442,"/",G442,"/",H442,"/",I442)</f>
        <v>3612/5163/2699/0/0/0/0/0/0</v>
      </c>
      <c r="K442" s="321" t="s">
        <v>396</v>
      </c>
      <c r="L442" s="201">
        <v>12400</v>
      </c>
      <c r="M442" s="201">
        <v>18200</v>
      </c>
      <c r="N442" s="201">
        <v>24800</v>
      </c>
      <c r="O442" s="201">
        <v>26600</v>
      </c>
      <c r="P442" s="201">
        <v>31900</v>
      </c>
      <c r="Q442" s="201">
        <v>50000</v>
      </c>
      <c r="R442" s="201">
        <v>50000</v>
      </c>
      <c r="S442" s="201">
        <v>50000</v>
      </c>
      <c r="T442" s="201"/>
      <c r="U442" s="403"/>
    </row>
    <row r="443" spans="1:22" outlineLevel="2" x14ac:dyDescent="0.25">
      <c r="A443" s="193">
        <v>6310</v>
      </c>
      <c r="B443" s="193">
        <v>5163</v>
      </c>
      <c r="C443" s="193">
        <v>2699</v>
      </c>
      <c r="D443" s="193">
        <v>0</v>
      </c>
      <c r="E443" s="193">
        <v>0</v>
      </c>
      <c r="F443" s="194">
        <v>0</v>
      </c>
      <c r="G443" s="193">
        <v>0</v>
      </c>
      <c r="H443" s="193">
        <v>0</v>
      </c>
      <c r="I443" s="193">
        <v>0</v>
      </c>
      <c r="J443" s="321" t="str">
        <f>CONCATENATE(A443,"/",B443,"/",C443,"/",D443,"/",E443,"/",F443,"/",G443,"/",H443,"/",I443)</f>
        <v>6310/5163/2699/0/0/0/0/0/0</v>
      </c>
      <c r="K443" s="321" t="s">
        <v>396</v>
      </c>
      <c r="L443" s="201">
        <v>3390</v>
      </c>
      <c r="M443" s="201">
        <v>3102</v>
      </c>
      <c r="N443" s="201">
        <v>2864</v>
      </c>
      <c r="O443" s="201">
        <v>2754</v>
      </c>
      <c r="P443" s="201">
        <v>2593</v>
      </c>
      <c r="Q443" s="201">
        <v>5000</v>
      </c>
      <c r="R443" s="201">
        <v>5000</v>
      </c>
      <c r="S443" s="201">
        <v>5000</v>
      </c>
      <c r="T443" s="201"/>
      <c r="U443" s="403"/>
    </row>
    <row r="444" spans="1:22" outlineLevel="2" x14ac:dyDescent="0.25">
      <c r="A444" s="193">
        <v>3611</v>
      </c>
      <c r="B444" s="193">
        <v>5660</v>
      </c>
      <c r="C444" s="193">
        <v>2699</v>
      </c>
      <c r="D444" s="193">
        <v>0</v>
      </c>
      <c r="E444" s="193">
        <v>0</v>
      </c>
      <c r="F444" s="194">
        <v>0</v>
      </c>
      <c r="G444" s="193">
        <v>0</v>
      </c>
      <c r="H444" s="193">
        <v>0</v>
      </c>
      <c r="I444" s="193">
        <v>0</v>
      </c>
      <c r="J444" s="321" t="str">
        <f>CONCATENATE(A444,"/",B444,"/",C444,"/",D444,"/",E444,"/",F444,"/",G444,"/",H444,"/",I444)</f>
        <v>3611/5660/2699/0/0/0/0/0/0</v>
      </c>
      <c r="K444" s="321" t="s">
        <v>397</v>
      </c>
      <c r="L444" s="201">
        <v>910000</v>
      </c>
      <c r="M444" s="201">
        <v>1240000</v>
      </c>
      <c r="N444" s="201">
        <v>1330000</v>
      </c>
      <c r="O444" s="201">
        <v>1595000</v>
      </c>
      <c r="P444" s="201">
        <v>780000</v>
      </c>
      <c r="Q444" s="201">
        <v>2200000</v>
      </c>
      <c r="R444" s="201">
        <v>2210000</v>
      </c>
      <c r="S444" s="201">
        <v>2500000</v>
      </c>
      <c r="T444" s="201"/>
      <c r="U444" s="403"/>
    </row>
    <row r="445" spans="1:22" outlineLevel="1" x14ac:dyDescent="0.25">
      <c r="A445" s="491"/>
      <c r="B445" s="491"/>
      <c r="C445" s="499" t="s">
        <v>4676</v>
      </c>
      <c r="D445" s="491"/>
      <c r="E445" s="491"/>
      <c r="F445" s="492"/>
      <c r="G445" s="491"/>
      <c r="H445" s="491"/>
      <c r="I445" s="491"/>
      <c r="J445" s="493">
        <v>2699</v>
      </c>
      <c r="K445" s="493" t="str">
        <f>VLOOKUP(J445,orJ_správce_telefon_mail!A:B,2,0)</f>
        <v>Fond rozvoje bydlení - spadá pod Oddělení reg. Rozvoje</v>
      </c>
      <c r="L445" s="494">
        <f t="shared" ref="L445:T445" si="39">SUBTOTAL(9,L442:L444)</f>
        <v>925790</v>
      </c>
      <c r="M445" s="494">
        <f t="shared" si="39"/>
        <v>1261302</v>
      </c>
      <c r="N445" s="494">
        <f t="shared" si="39"/>
        <v>1357664</v>
      </c>
      <c r="O445" s="494">
        <f t="shared" si="39"/>
        <v>1624354</v>
      </c>
      <c r="P445" s="494">
        <f t="shared" si="39"/>
        <v>814493</v>
      </c>
      <c r="Q445" s="494">
        <f t="shared" si="39"/>
        <v>2255000</v>
      </c>
      <c r="R445" s="494">
        <f t="shared" si="39"/>
        <v>2265000</v>
      </c>
      <c r="S445" s="494">
        <f t="shared" si="39"/>
        <v>2555000</v>
      </c>
      <c r="T445" s="494">
        <f t="shared" si="39"/>
        <v>0</v>
      </c>
      <c r="U445" s="541"/>
    </row>
    <row r="446" spans="1:22" outlineLevel="2" x14ac:dyDescent="0.25">
      <c r="A446" s="193">
        <v>4351</v>
      </c>
      <c r="B446" s="193">
        <v>5336</v>
      </c>
      <c r="C446" s="193">
        <v>2700</v>
      </c>
      <c r="D446" s="193">
        <v>52555</v>
      </c>
      <c r="E446" s="193">
        <v>0</v>
      </c>
      <c r="F446" s="194">
        <v>13305</v>
      </c>
      <c r="G446" s="193">
        <v>0</v>
      </c>
      <c r="H446" s="193">
        <v>0</v>
      </c>
      <c r="I446" s="193">
        <v>0</v>
      </c>
      <c r="J446" s="321" t="str">
        <f t="shared" ref="J446:J460" si="40">CONCATENATE(A446,"/",B446,"/",C446,"/",D446,"/",E446,"/",F446,"/",G446,"/",H446,"/",I446)</f>
        <v>4351/5336/2700/52555/0/13305/0/0/0</v>
      </c>
      <c r="K446" s="321" t="s">
        <v>3839</v>
      </c>
      <c r="L446" s="201">
        <v>3065100</v>
      </c>
      <c r="M446" s="201">
        <v>3249300</v>
      </c>
      <c r="N446" s="201">
        <v>5197843</v>
      </c>
      <c r="O446" s="201">
        <v>6348234</v>
      </c>
      <c r="P446" s="201">
        <v>4498000</v>
      </c>
      <c r="Q446" s="201">
        <v>0</v>
      </c>
      <c r="R446" s="201">
        <v>5489000</v>
      </c>
      <c r="S446" s="201"/>
      <c r="T446" s="201"/>
      <c r="U446" s="403"/>
    </row>
    <row r="447" spans="1:22" outlineLevel="2" x14ac:dyDescent="0.25">
      <c r="A447" s="197">
        <v>4339</v>
      </c>
      <c r="B447" s="197">
        <v>5011</v>
      </c>
      <c r="C447" s="197">
        <v>2700</v>
      </c>
      <c r="D447" s="197">
        <v>49018</v>
      </c>
      <c r="E447" s="197">
        <v>0</v>
      </c>
      <c r="F447" s="197">
        <v>13010</v>
      </c>
      <c r="G447" s="197">
        <v>0</v>
      </c>
      <c r="H447" s="197">
        <v>44</v>
      </c>
      <c r="I447" s="197">
        <v>0</v>
      </c>
      <c r="J447" s="334" t="str">
        <f t="shared" si="40"/>
        <v>4339/5011/2700/49018/0/13010/0/44/0</v>
      </c>
      <c r="K447" s="334" t="s">
        <v>3840</v>
      </c>
      <c r="L447" s="362">
        <v>808164.03</v>
      </c>
      <c r="M447" s="362">
        <v>763928</v>
      </c>
      <c r="N447" s="362">
        <v>713956.8</v>
      </c>
      <c r="O447" s="362">
        <v>556189</v>
      </c>
      <c r="P447" s="362">
        <v>505611.61</v>
      </c>
      <c r="Q447" s="362">
        <v>0</v>
      </c>
      <c r="R447" s="362">
        <v>1623788.69</v>
      </c>
      <c r="S447" s="362">
        <v>0</v>
      </c>
      <c r="T447" s="362"/>
      <c r="U447" s="532"/>
    </row>
    <row r="448" spans="1:22" outlineLevel="2" x14ac:dyDescent="0.25">
      <c r="A448" s="197">
        <v>4339</v>
      </c>
      <c r="B448" s="197">
        <v>5011</v>
      </c>
      <c r="C448" s="197">
        <v>2700</v>
      </c>
      <c r="D448" s="197">
        <v>49017</v>
      </c>
      <c r="E448" s="197">
        <v>0</v>
      </c>
      <c r="F448" s="306">
        <v>13015</v>
      </c>
      <c r="G448" s="197">
        <v>0</v>
      </c>
      <c r="H448" s="197">
        <v>44</v>
      </c>
      <c r="I448" s="197">
        <v>0</v>
      </c>
      <c r="J448" s="334" t="str">
        <f t="shared" si="40"/>
        <v>4339/5011/2700/49017/0/13015/0/44/0</v>
      </c>
      <c r="K448" s="334" t="s">
        <v>3841</v>
      </c>
      <c r="L448" s="362">
        <v>1661777</v>
      </c>
      <c r="M448" s="362">
        <v>1587845</v>
      </c>
      <c r="N448" s="362">
        <v>1751917</v>
      </c>
      <c r="O448" s="362">
        <v>1901747</v>
      </c>
      <c r="P448" s="362">
        <v>1924067</v>
      </c>
      <c r="Q448" s="362">
        <v>0</v>
      </c>
      <c r="R448" s="362">
        <v>1842688</v>
      </c>
      <c r="S448" s="362">
        <v>0</v>
      </c>
      <c r="T448" s="362"/>
      <c r="U448" s="532"/>
    </row>
    <row r="449" spans="1:22" outlineLevel="2" x14ac:dyDescent="0.25">
      <c r="A449" s="193">
        <v>4349</v>
      </c>
      <c r="B449" s="193">
        <v>5901</v>
      </c>
      <c r="C449" s="193">
        <v>2700</v>
      </c>
      <c r="D449" s="193">
        <v>0</v>
      </c>
      <c r="E449" s="193">
        <v>0</v>
      </c>
      <c r="F449" s="194">
        <v>0</v>
      </c>
      <c r="G449" s="193">
        <v>0</v>
      </c>
      <c r="H449" s="193">
        <v>4</v>
      </c>
      <c r="I449" s="193">
        <v>0</v>
      </c>
      <c r="J449" s="321" t="str">
        <f t="shared" si="40"/>
        <v>4349/5901/2700/0/0/0/0/4/0</v>
      </c>
      <c r="K449" s="321" t="s">
        <v>398</v>
      </c>
      <c r="L449" s="201">
        <v>2550000</v>
      </c>
      <c r="M449" s="201">
        <v>2599999</v>
      </c>
      <c r="N449" s="201">
        <v>3000000</v>
      </c>
      <c r="O449" s="201">
        <v>3100000</v>
      </c>
      <c r="P449" s="201">
        <v>3031850</v>
      </c>
      <c r="Q449" s="201">
        <v>3500000</v>
      </c>
      <c r="R449" s="201">
        <v>3500000</v>
      </c>
      <c r="S449" s="201">
        <v>4000000</v>
      </c>
      <c r="T449" s="201"/>
      <c r="U449" s="403"/>
    </row>
    <row r="450" spans="1:22" outlineLevel="2" x14ac:dyDescent="0.25">
      <c r="A450" s="198">
        <v>4399</v>
      </c>
      <c r="B450" s="198">
        <v>5901</v>
      </c>
      <c r="C450" s="198">
        <v>2700</v>
      </c>
      <c r="D450" s="198">
        <v>0</v>
      </c>
      <c r="E450" s="198">
        <v>0</v>
      </c>
      <c r="F450" s="198">
        <v>0</v>
      </c>
      <c r="G450" s="198">
        <v>0</v>
      </c>
      <c r="H450" s="198">
        <v>53</v>
      </c>
      <c r="I450" s="198">
        <v>0</v>
      </c>
      <c r="J450" s="335" t="str">
        <f t="shared" si="40"/>
        <v>4399/5901/2700/0/0/0/0/53/0</v>
      </c>
      <c r="K450" s="335" t="s">
        <v>399</v>
      </c>
      <c r="L450" s="363">
        <v>146473</v>
      </c>
      <c r="M450" s="363">
        <v>117092</v>
      </c>
      <c r="N450" s="363">
        <v>117365</v>
      </c>
      <c r="O450" s="363">
        <v>131376</v>
      </c>
      <c r="P450" s="363">
        <v>136281</v>
      </c>
      <c r="Q450" s="363">
        <v>300000</v>
      </c>
      <c r="R450" s="363">
        <v>290700</v>
      </c>
      <c r="S450" s="363">
        <v>350000</v>
      </c>
      <c r="T450" s="363"/>
      <c r="U450" s="533"/>
    </row>
    <row r="451" spans="1:22" outlineLevel="2" x14ac:dyDescent="0.25">
      <c r="A451" s="193">
        <v>4349</v>
      </c>
      <c r="B451" s="193">
        <v>5169</v>
      </c>
      <c r="C451" s="193">
        <v>2700</v>
      </c>
      <c r="D451" s="193">
        <v>49020</v>
      </c>
      <c r="E451" s="193">
        <v>0</v>
      </c>
      <c r="F451" s="194">
        <v>0</v>
      </c>
      <c r="G451" s="193">
        <v>0</v>
      </c>
      <c r="H451" s="193">
        <v>60</v>
      </c>
      <c r="I451" s="193">
        <v>0</v>
      </c>
      <c r="J451" s="321" t="str">
        <f t="shared" si="40"/>
        <v>4349/5169/2700/49020/0/0/0/60/0</v>
      </c>
      <c r="K451" s="321" t="s">
        <v>400</v>
      </c>
      <c r="L451" s="201">
        <v>631512</v>
      </c>
      <c r="M451" s="201">
        <v>631512</v>
      </c>
      <c r="N451" s="201">
        <v>368382</v>
      </c>
      <c r="O451" s="201"/>
      <c r="P451" s="201"/>
      <c r="Q451" s="201"/>
      <c r="R451" s="201"/>
      <c r="S451" s="201"/>
      <c r="T451" s="201"/>
      <c r="U451" s="403"/>
    </row>
    <row r="452" spans="1:22" outlineLevel="2" x14ac:dyDescent="0.25">
      <c r="A452" s="193">
        <v>4349</v>
      </c>
      <c r="B452" s="193">
        <v>5169</v>
      </c>
      <c r="C452" s="193">
        <v>2700</v>
      </c>
      <c r="D452" s="193">
        <v>49020</v>
      </c>
      <c r="E452" s="193">
        <v>0</v>
      </c>
      <c r="F452" s="194">
        <v>0</v>
      </c>
      <c r="G452" s="193">
        <v>0</v>
      </c>
      <c r="H452" s="193">
        <v>0</v>
      </c>
      <c r="I452" s="193">
        <v>0</v>
      </c>
      <c r="J452" s="321" t="str">
        <f t="shared" si="40"/>
        <v>4349/5169/2700/49020/0/0/0/0/0</v>
      </c>
      <c r="K452" s="321" t="s">
        <v>3725</v>
      </c>
      <c r="L452" s="201">
        <v>372295</v>
      </c>
      <c r="M452" s="201">
        <v>386700</v>
      </c>
      <c r="N452" s="201">
        <v>226075</v>
      </c>
      <c r="O452" s="201"/>
      <c r="P452" s="201"/>
      <c r="Q452" s="201"/>
      <c r="R452" s="201"/>
      <c r="S452" s="201"/>
      <c r="T452" s="201"/>
      <c r="U452" s="403"/>
    </row>
    <row r="453" spans="1:22" outlineLevel="2" x14ac:dyDescent="0.25">
      <c r="A453" s="193">
        <v>4349</v>
      </c>
      <c r="B453" s="193">
        <v>5169</v>
      </c>
      <c r="C453" s="193">
        <v>2700</v>
      </c>
      <c r="D453" s="193">
        <v>49012</v>
      </c>
      <c r="E453" s="193">
        <v>0</v>
      </c>
      <c r="F453" s="194">
        <v>0</v>
      </c>
      <c r="G453" s="193">
        <v>0</v>
      </c>
      <c r="H453" s="193">
        <v>0</v>
      </c>
      <c r="I453" s="193">
        <v>0</v>
      </c>
      <c r="J453" s="321" t="str">
        <f t="shared" si="40"/>
        <v>4349/5169/2700/49012/0/0/0/0/0</v>
      </c>
      <c r="K453" s="321" t="s">
        <v>3724</v>
      </c>
      <c r="L453" s="201">
        <v>39000</v>
      </c>
      <c r="M453" s="201"/>
      <c r="N453" s="201"/>
      <c r="O453" s="201"/>
      <c r="P453" s="201">
        <v>9900</v>
      </c>
      <c r="Q453" s="201">
        <v>15000</v>
      </c>
      <c r="R453" s="201">
        <v>15000</v>
      </c>
      <c r="S453" s="201">
        <v>15000</v>
      </c>
      <c r="T453" s="201"/>
      <c r="U453" s="403"/>
    </row>
    <row r="454" spans="1:22" outlineLevel="2" x14ac:dyDescent="0.25">
      <c r="A454" s="306">
        <v>4339</v>
      </c>
      <c r="B454" s="306">
        <v>5011</v>
      </c>
      <c r="C454" s="306">
        <v>2700</v>
      </c>
      <c r="D454" s="306">
        <v>49030</v>
      </c>
      <c r="E454" s="306">
        <v>0</v>
      </c>
      <c r="F454" s="306">
        <v>0</v>
      </c>
      <c r="G454" s="306">
        <v>0</v>
      </c>
      <c r="H454" s="306">
        <v>0</v>
      </c>
      <c r="I454" s="306">
        <v>0</v>
      </c>
      <c r="J454" s="336" t="str">
        <f t="shared" si="40"/>
        <v>4339/5011/2700/49030/0/0/0/0/0</v>
      </c>
      <c r="K454" s="336" t="s">
        <v>4726</v>
      </c>
      <c r="L454" s="362"/>
      <c r="M454" s="362"/>
      <c r="N454" s="362">
        <v>417571.6</v>
      </c>
      <c r="O454" s="362">
        <v>492948.56</v>
      </c>
      <c r="P454" s="362">
        <v>1168127.55</v>
      </c>
      <c r="Q454" s="362">
        <f>1952000+244000</f>
        <v>2196000</v>
      </c>
      <c r="R454" s="362">
        <v>2196000</v>
      </c>
      <c r="S454" s="362">
        <v>2226500</v>
      </c>
      <c r="T454" s="362"/>
      <c r="U454" s="532"/>
    </row>
    <row r="455" spans="1:22" s="59" customFormat="1" outlineLevel="2" x14ac:dyDescent="0.25">
      <c r="A455" s="193">
        <v>4349</v>
      </c>
      <c r="B455" s="193">
        <v>5021</v>
      </c>
      <c r="C455" s="193">
        <v>2700</v>
      </c>
      <c r="D455" s="193">
        <v>49029</v>
      </c>
      <c r="E455" s="193">
        <v>0</v>
      </c>
      <c r="F455" s="193">
        <v>0</v>
      </c>
      <c r="G455" s="193">
        <v>0</v>
      </c>
      <c r="H455" s="193">
        <v>0</v>
      </c>
      <c r="I455" s="193">
        <v>0</v>
      </c>
      <c r="J455" s="321" t="str">
        <f t="shared" si="40"/>
        <v>4349/5021/2700/49029/0/0/0/0/0</v>
      </c>
      <c r="K455" s="321" t="s">
        <v>3723</v>
      </c>
      <c r="L455" s="201">
        <f>322653.25+16981.75</f>
        <v>339635</v>
      </c>
      <c r="M455" s="201">
        <f>1065900+56100</f>
        <v>1122000</v>
      </c>
      <c r="N455" s="201">
        <v>203510.55</v>
      </c>
      <c r="O455" s="201"/>
      <c r="P455" s="201"/>
      <c r="Q455" s="201">
        <v>0</v>
      </c>
      <c r="R455" s="201"/>
      <c r="S455" s="201"/>
      <c r="T455" s="201"/>
      <c r="U455" s="403"/>
      <c r="V455" s="351"/>
    </row>
    <row r="456" spans="1:22" s="60" customFormat="1" outlineLevel="2" x14ac:dyDescent="0.25">
      <c r="A456" s="197">
        <v>4339</v>
      </c>
      <c r="B456" s="197">
        <v>5011</v>
      </c>
      <c r="C456" s="197">
        <v>2700</v>
      </c>
      <c r="D456" s="197">
        <v>49031</v>
      </c>
      <c r="E456" s="197">
        <v>0</v>
      </c>
      <c r="F456" s="197">
        <v>13024</v>
      </c>
      <c r="G456" s="197">
        <v>0</v>
      </c>
      <c r="H456" s="197">
        <v>44</v>
      </c>
      <c r="I456" s="197">
        <v>0</v>
      </c>
      <c r="J456" s="334" t="str">
        <f t="shared" si="40"/>
        <v>4339/5011/2700/49031/0/13024/0/44/0</v>
      </c>
      <c r="K456" s="334" t="s">
        <v>4370</v>
      </c>
      <c r="L456" s="362">
        <v>6788917.8200000003</v>
      </c>
      <c r="M456" s="362">
        <v>7468058.0899999989</v>
      </c>
      <c r="N456" s="362">
        <v>8297645.5900000008</v>
      </c>
      <c r="O456" s="362">
        <v>8540899.9800000004</v>
      </c>
      <c r="P456" s="362">
        <v>8777624.4600000009</v>
      </c>
      <c r="Q456" s="362">
        <v>7000000</v>
      </c>
      <c r="R456" s="362">
        <v>9203600</v>
      </c>
      <c r="S456" s="362">
        <v>7000000</v>
      </c>
      <c r="T456" s="362"/>
      <c r="U456" s="532"/>
      <c r="V456" s="111"/>
    </row>
    <row r="457" spans="1:22" s="59" customFormat="1" outlineLevel="2" x14ac:dyDescent="0.25">
      <c r="A457" s="193">
        <v>4379</v>
      </c>
      <c r="B457" s="193">
        <v>5169</v>
      </c>
      <c r="C457" s="193">
        <v>2700</v>
      </c>
      <c r="D457" s="193">
        <v>0</v>
      </c>
      <c r="E457" s="193">
        <v>0</v>
      </c>
      <c r="F457" s="194">
        <v>0</v>
      </c>
      <c r="G457" s="193">
        <v>0</v>
      </c>
      <c r="H457" s="193">
        <v>0</v>
      </c>
      <c r="I457" s="193">
        <v>0</v>
      </c>
      <c r="J457" s="321" t="str">
        <f t="shared" si="40"/>
        <v>4379/5169/2700/0/0/0/0/0/0</v>
      </c>
      <c r="K457" s="321" t="s">
        <v>3699</v>
      </c>
      <c r="L457" s="201"/>
      <c r="M457" s="201">
        <v>13950</v>
      </c>
      <c r="N457" s="201">
        <f>27300+4500</f>
        <v>31800</v>
      </c>
      <c r="O457" s="201">
        <v>26950</v>
      </c>
      <c r="P457" s="201">
        <v>25900</v>
      </c>
      <c r="Q457" s="201">
        <v>30000</v>
      </c>
      <c r="R457" s="201">
        <v>30000</v>
      </c>
      <c r="S457" s="201"/>
      <c r="T457" s="201"/>
      <c r="U457" s="403"/>
      <c r="V457" s="351"/>
    </row>
    <row r="458" spans="1:22" s="59" customFormat="1" outlineLevel="2" x14ac:dyDescent="0.25">
      <c r="A458" s="208">
        <v>4351</v>
      </c>
      <c r="B458" s="208">
        <v>5331</v>
      </c>
      <c r="C458" s="208">
        <v>2700</v>
      </c>
      <c r="D458" s="208">
        <v>52555</v>
      </c>
      <c r="E458" s="208">
        <v>0</v>
      </c>
      <c r="F458" s="438">
        <v>0</v>
      </c>
      <c r="G458" s="208">
        <v>0</v>
      </c>
      <c r="H458" s="208">
        <v>0</v>
      </c>
      <c r="I458" s="208">
        <v>0</v>
      </c>
      <c r="J458" s="325" t="str">
        <f t="shared" si="40"/>
        <v>4351/5331/2700/52555/0/0/0/0/0</v>
      </c>
      <c r="K458" s="325" t="s">
        <v>169</v>
      </c>
      <c r="L458" s="347">
        <v>7000000</v>
      </c>
      <c r="M458" s="347">
        <v>7000000</v>
      </c>
      <c r="N458" s="347">
        <v>6600000</v>
      </c>
      <c r="O458" s="347">
        <v>6550000</v>
      </c>
      <c r="P458" s="347">
        <v>7000000</v>
      </c>
      <c r="Q458" s="347">
        <v>7600000</v>
      </c>
      <c r="R458" s="347">
        <v>7600000</v>
      </c>
      <c r="S458" s="347">
        <v>6000000</v>
      </c>
      <c r="T458" s="347"/>
      <c r="U458" s="530"/>
      <c r="V458" s="351"/>
    </row>
    <row r="459" spans="1:22" s="59" customFormat="1" outlineLevel="2" x14ac:dyDescent="0.25">
      <c r="A459" s="208">
        <v>3429</v>
      </c>
      <c r="B459" s="208">
        <v>5331</v>
      </c>
      <c r="C459" s="208">
        <v>2700</v>
      </c>
      <c r="D459" s="208">
        <v>67717</v>
      </c>
      <c r="E459" s="208">
        <v>0</v>
      </c>
      <c r="F459" s="438">
        <v>0</v>
      </c>
      <c r="G459" s="208">
        <v>0</v>
      </c>
      <c r="H459" s="208">
        <v>1</v>
      </c>
      <c r="I459" s="208">
        <v>0</v>
      </c>
      <c r="J459" s="325" t="str">
        <f t="shared" si="40"/>
        <v>3429/5331/2700/67717/0/0/0/1/0</v>
      </c>
      <c r="K459" s="325" t="s">
        <v>401</v>
      </c>
      <c r="L459" s="347">
        <v>140000</v>
      </c>
      <c r="M459" s="347">
        <f>68900+54000+13100</f>
        <v>136000</v>
      </c>
      <c r="N459" s="347">
        <v>165000</v>
      </c>
      <c r="O459" s="347">
        <v>150000</v>
      </c>
      <c r="P459" s="347">
        <v>170000</v>
      </c>
      <c r="Q459" s="347">
        <v>250000</v>
      </c>
      <c r="R459" s="347">
        <v>250000</v>
      </c>
      <c r="S459" s="347">
        <v>250000</v>
      </c>
      <c r="T459" s="347"/>
      <c r="U459" s="530"/>
      <c r="V459" s="351"/>
    </row>
    <row r="460" spans="1:22" s="59" customFormat="1" outlineLevel="2" x14ac:dyDescent="0.25">
      <c r="A460" s="208">
        <v>3429</v>
      </c>
      <c r="B460" s="208">
        <v>5331</v>
      </c>
      <c r="C460" s="208">
        <v>2700</v>
      </c>
      <c r="D460" s="208">
        <v>67717</v>
      </c>
      <c r="E460" s="208">
        <v>0</v>
      </c>
      <c r="F460" s="438">
        <v>0</v>
      </c>
      <c r="G460" s="208">
        <v>0</v>
      </c>
      <c r="H460" s="208">
        <v>0</v>
      </c>
      <c r="I460" s="208">
        <v>0</v>
      </c>
      <c r="J460" s="325" t="str">
        <f t="shared" si="40"/>
        <v>3429/5331/2700/67717/0/0/0/0/0</v>
      </c>
      <c r="K460" s="325" t="s">
        <v>402</v>
      </c>
      <c r="L460" s="347">
        <v>80000</v>
      </c>
      <c r="M460" s="347">
        <v>80000</v>
      </c>
      <c r="N460" s="347">
        <v>21184</v>
      </c>
      <c r="O460" s="347">
        <v>80000</v>
      </c>
      <c r="P460" s="347">
        <v>80000</v>
      </c>
      <c r="Q460" s="347">
        <v>80000</v>
      </c>
      <c r="R460" s="347">
        <v>80000</v>
      </c>
      <c r="S460" s="347">
        <v>150000</v>
      </c>
      <c r="T460" s="347"/>
      <c r="U460" s="530"/>
      <c r="V460" s="351"/>
    </row>
    <row r="461" spans="1:22" s="59" customFormat="1" outlineLevel="2" x14ac:dyDescent="0.25">
      <c r="A461" s="208">
        <v>4351</v>
      </c>
      <c r="B461" s="208">
        <v>5901</v>
      </c>
      <c r="C461" s="208">
        <v>2700</v>
      </c>
      <c r="D461" s="208">
        <v>52555</v>
      </c>
      <c r="E461" s="208">
        <v>0</v>
      </c>
      <c r="F461" s="438">
        <v>0</v>
      </c>
      <c r="G461" s="208">
        <v>0</v>
      </c>
      <c r="H461" s="208">
        <v>0</v>
      </c>
      <c r="I461" s="208">
        <v>0</v>
      </c>
      <c r="J461" s="325" t="s">
        <v>169</v>
      </c>
      <c r="K461" s="325" t="s">
        <v>4775</v>
      </c>
      <c r="L461" s="347"/>
      <c r="M461" s="347"/>
      <c r="N461" s="347"/>
      <c r="O461" s="347"/>
      <c r="P461" s="347"/>
      <c r="Q461" s="347"/>
      <c r="R461" s="347"/>
      <c r="S461" s="347">
        <v>1000000</v>
      </c>
      <c r="T461" s="347"/>
      <c r="U461" s="530" t="s">
        <v>4776</v>
      </c>
      <c r="V461" s="351"/>
    </row>
    <row r="462" spans="1:22" s="59" customFormat="1" outlineLevel="2" x14ac:dyDescent="0.25">
      <c r="A462" s="208">
        <v>4351</v>
      </c>
      <c r="B462" s="208">
        <v>5331</v>
      </c>
      <c r="C462" s="208">
        <v>2700</v>
      </c>
      <c r="D462" s="208">
        <v>52555</v>
      </c>
      <c r="E462" s="208">
        <v>0</v>
      </c>
      <c r="F462" s="438">
        <v>0</v>
      </c>
      <c r="G462" s="208">
        <v>0</v>
      </c>
      <c r="H462" s="208">
        <v>1</v>
      </c>
      <c r="I462" s="208">
        <v>0</v>
      </c>
      <c r="J462" s="325" t="str">
        <f>CONCATENATE(A462,"/",B462,"/",C462,"/",D462,"/",E462,"/",F462,"/",G462,"/",H462,"/",I462)</f>
        <v>4351/5331/2700/52555/0/0/0/1/0</v>
      </c>
      <c r="K462" s="325" t="s">
        <v>4448</v>
      </c>
      <c r="L462" s="347">
        <v>400000</v>
      </c>
      <c r="M462" s="347">
        <v>400000</v>
      </c>
      <c r="N462" s="347">
        <v>400000</v>
      </c>
      <c r="O462" s="347">
        <v>380000</v>
      </c>
      <c r="P462" s="347">
        <v>480000</v>
      </c>
      <c r="Q462" s="347">
        <v>595000</v>
      </c>
      <c r="R462" s="347">
        <v>535000</v>
      </c>
      <c r="S462" s="347">
        <v>590000</v>
      </c>
      <c r="T462" s="347"/>
      <c r="U462" s="530"/>
      <c r="V462" s="351"/>
    </row>
    <row r="463" spans="1:22" s="59" customFormat="1" outlineLevel="2" x14ac:dyDescent="0.25">
      <c r="A463" s="193">
        <v>4399</v>
      </c>
      <c r="B463" s="193">
        <v>5901</v>
      </c>
      <c r="C463" s="193">
        <v>2700</v>
      </c>
      <c r="D463" s="193">
        <v>0</v>
      </c>
      <c r="E463" s="193">
        <v>0</v>
      </c>
      <c r="F463" s="194">
        <v>0</v>
      </c>
      <c r="G463" s="193">
        <v>0</v>
      </c>
      <c r="H463" s="193">
        <v>0</v>
      </c>
      <c r="I463" s="193">
        <v>0</v>
      </c>
      <c r="J463" s="321" t="str">
        <f>CONCATENATE(A463,"/",B463,"/",C463,"/",D463,"/",E463,"/",F463,"/",G463,"/",H463,"/",I463)</f>
        <v>4399/5901/2700/0/0/0/0/0/0</v>
      </c>
      <c r="K463" s="321" t="s">
        <v>403</v>
      </c>
      <c r="L463" s="201">
        <v>0</v>
      </c>
      <c r="M463" s="201"/>
      <c r="N463" s="201"/>
      <c r="O463" s="201"/>
      <c r="P463" s="201"/>
      <c r="Q463" s="201">
        <v>130000</v>
      </c>
      <c r="R463" s="201">
        <v>120000</v>
      </c>
      <c r="S463" s="201">
        <v>68500</v>
      </c>
      <c r="T463" s="201"/>
      <c r="U463" s="403"/>
      <c r="V463" s="351"/>
    </row>
    <row r="464" spans="1:22" s="59" customFormat="1" outlineLevel="2" x14ac:dyDescent="0.25">
      <c r="A464" s="193">
        <v>4349</v>
      </c>
      <c r="B464" s="193">
        <v>5901</v>
      </c>
      <c r="C464" s="193">
        <v>2700</v>
      </c>
      <c r="D464" s="193">
        <v>0</v>
      </c>
      <c r="E464" s="193">
        <v>0</v>
      </c>
      <c r="F464" s="194">
        <v>0</v>
      </c>
      <c r="G464" s="193">
        <v>0</v>
      </c>
      <c r="H464" s="193">
        <v>0</v>
      </c>
      <c r="I464" s="193">
        <v>0</v>
      </c>
      <c r="J464" s="321" t="str">
        <f>CONCATENATE(A464,"/",B464,"/",C464,"/",D464,"/",E464,"/",F464,"/",G464,"/",H464,"/",I464)</f>
        <v>4349/5901/2700/0/0/0/0/0/0</v>
      </c>
      <c r="K464" s="321" t="s">
        <v>393</v>
      </c>
      <c r="L464" s="201">
        <f>24000+45000</f>
        <v>69000</v>
      </c>
      <c r="M464" s="201"/>
      <c r="N464" s="201">
        <v>200000</v>
      </c>
      <c r="O464" s="201"/>
      <c r="P464" s="201"/>
      <c r="Q464" s="201"/>
      <c r="R464" s="201">
        <v>29300</v>
      </c>
      <c r="S464" s="201"/>
      <c r="T464" s="201"/>
      <c r="U464" s="403"/>
      <c r="V464" s="351"/>
    </row>
    <row r="465" spans="1:22" s="59" customFormat="1" outlineLevel="1" x14ac:dyDescent="0.25">
      <c r="A465" s="491"/>
      <c r="B465" s="491"/>
      <c r="C465" s="499" t="s">
        <v>4677</v>
      </c>
      <c r="D465" s="491"/>
      <c r="E465" s="491"/>
      <c r="F465" s="492"/>
      <c r="G465" s="491"/>
      <c r="H465" s="491"/>
      <c r="I465" s="491"/>
      <c r="J465" s="493">
        <v>2700</v>
      </c>
      <c r="K465" s="493" t="str">
        <f>VLOOKUP(J465,orJ_správce_telefon_mail!A:B,2,0)</f>
        <v>Odbor sociálních věcí a zdravotnictví - Mgr.; Bc. Šlesingr, DiS.</v>
      </c>
      <c r="L465" s="494">
        <f t="shared" ref="L465:T465" si="41">SUBTOTAL(9,L446:L464)</f>
        <v>24091873.850000001</v>
      </c>
      <c r="M465" s="494">
        <f t="shared" si="41"/>
        <v>25556384.09</v>
      </c>
      <c r="N465" s="494">
        <f t="shared" si="41"/>
        <v>27712250.540000003</v>
      </c>
      <c r="O465" s="494">
        <f t="shared" si="41"/>
        <v>28258344.539999999</v>
      </c>
      <c r="P465" s="494">
        <f t="shared" si="41"/>
        <v>27807361.620000001</v>
      </c>
      <c r="Q465" s="494">
        <f t="shared" si="41"/>
        <v>21696000</v>
      </c>
      <c r="R465" s="494">
        <f t="shared" si="41"/>
        <v>32805076.689999998</v>
      </c>
      <c r="S465" s="494">
        <f t="shared" si="41"/>
        <v>21650000</v>
      </c>
      <c r="T465" s="494">
        <f t="shared" si="41"/>
        <v>0</v>
      </c>
      <c r="U465" s="541"/>
      <c r="V465" s="351"/>
    </row>
    <row r="466" spans="1:22" s="59" customFormat="1" outlineLevel="2" x14ac:dyDescent="0.25">
      <c r="A466" s="265">
        <v>6310</v>
      </c>
      <c r="B466" s="265">
        <v>5163</v>
      </c>
      <c r="C466" s="265">
        <v>2799</v>
      </c>
      <c r="D466" s="265">
        <v>0</v>
      </c>
      <c r="E466" s="265">
        <v>0</v>
      </c>
      <c r="F466" s="265">
        <v>0</v>
      </c>
      <c r="G466" s="265">
        <v>0</v>
      </c>
      <c r="H466" s="265">
        <v>0</v>
      </c>
      <c r="I466" s="265">
        <v>0</v>
      </c>
      <c r="J466" s="321" t="str">
        <f>CONCATENATE(A466,"/",B466,"/",C466,"/",D466,"/",E466,"/",F466,"/",G466,"/",H466,"/",I466)</f>
        <v>6310/5163/2799/0/0/0/0/0/0</v>
      </c>
      <c r="K466" s="238" t="s">
        <v>3693</v>
      </c>
      <c r="L466" s="201"/>
      <c r="M466" s="201"/>
      <c r="N466" s="201"/>
      <c r="O466" s="201"/>
      <c r="P466" s="201">
        <v>244</v>
      </c>
      <c r="Q466" s="201"/>
      <c r="R466" s="201">
        <v>300</v>
      </c>
      <c r="S466" s="201"/>
      <c r="T466" s="201"/>
      <c r="U466" s="403"/>
      <c r="V466" s="351"/>
    </row>
    <row r="467" spans="1:22" s="59" customFormat="1" outlineLevel="2" x14ac:dyDescent="0.25">
      <c r="A467" s="193">
        <v>4351</v>
      </c>
      <c r="B467" s="193">
        <v>5171</v>
      </c>
      <c r="C467" s="193">
        <v>2799</v>
      </c>
      <c r="D467" s="193">
        <v>69290</v>
      </c>
      <c r="E467" s="193">
        <v>0</v>
      </c>
      <c r="F467" s="194">
        <v>0</v>
      </c>
      <c r="G467" s="193">
        <v>0</v>
      </c>
      <c r="H467" s="193">
        <v>0</v>
      </c>
      <c r="I467" s="193">
        <v>0</v>
      </c>
      <c r="J467" s="321" t="str">
        <f>CONCATENATE(A467,"/",B467,"/",C467,"/",D467,"/",E467,"/",F467,"/",G467,"/",H467,"/",I467)</f>
        <v>4351/5171/2799/69290/0/0/0/0/0</v>
      </c>
      <c r="K467" s="321" t="s">
        <v>4383</v>
      </c>
      <c r="L467" s="201"/>
      <c r="M467" s="201"/>
      <c r="N467" s="201"/>
      <c r="O467" s="201"/>
      <c r="P467" s="201">
        <v>793855.53</v>
      </c>
      <c r="Q467" s="201"/>
      <c r="R467" s="201">
        <v>705844.47</v>
      </c>
      <c r="S467" s="201">
        <v>0</v>
      </c>
      <c r="T467" s="201"/>
      <c r="U467" s="403"/>
      <c r="V467" s="351"/>
    </row>
    <row r="468" spans="1:22" s="59" customFormat="1" outlineLevel="1" x14ac:dyDescent="0.25">
      <c r="A468" s="491"/>
      <c r="B468" s="491"/>
      <c r="C468" s="499" t="s">
        <v>4678</v>
      </c>
      <c r="D468" s="491"/>
      <c r="E468" s="491"/>
      <c r="F468" s="492"/>
      <c r="G468" s="491"/>
      <c r="H468" s="491"/>
      <c r="I468" s="491"/>
      <c r="J468" s="493">
        <v>2799</v>
      </c>
      <c r="K468" s="493" t="str">
        <f>VLOOKUP(J468,orJ_správce_telefon_mail!A:B,2,0)</f>
        <v>Fond pro podporu a rozvoj sociálních služeb - spadá pod Odbor sociálních věcí a zdravotnictví</v>
      </c>
      <c r="L468" s="494">
        <f t="shared" ref="L468:T468" si="42">SUBTOTAL(9,L466:L467)</f>
        <v>0</v>
      </c>
      <c r="M468" s="494">
        <f t="shared" si="42"/>
        <v>0</v>
      </c>
      <c r="N468" s="494">
        <f t="shared" si="42"/>
        <v>0</v>
      </c>
      <c r="O468" s="494">
        <f t="shared" si="42"/>
        <v>0</v>
      </c>
      <c r="P468" s="494">
        <f t="shared" si="42"/>
        <v>794099.53</v>
      </c>
      <c r="Q468" s="494">
        <f t="shared" si="42"/>
        <v>0</v>
      </c>
      <c r="R468" s="494">
        <f t="shared" si="42"/>
        <v>706144.47</v>
      </c>
      <c r="S468" s="494">
        <f t="shared" si="42"/>
        <v>0</v>
      </c>
      <c r="T468" s="494">
        <f t="shared" si="42"/>
        <v>0</v>
      </c>
      <c r="U468" s="541"/>
      <c r="V468" s="351"/>
    </row>
    <row r="469" spans="1:22" s="59" customFormat="1" outlineLevel="2" x14ac:dyDescent="0.25">
      <c r="A469" s="193">
        <v>3322</v>
      </c>
      <c r="B469" s="193">
        <v>5171</v>
      </c>
      <c r="C469" s="193">
        <v>2870</v>
      </c>
      <c r="D469" s="193">
        <v>13019</v>
      </c>
      <c r="E469" s="193">
        <v>0</v>
      </c>
      <c r="F469" s="194">
        <v>0</v>
      </c>
      <c r="G469" s="193">
        <v>0</v>
      </c>
      <c r="H469" s="193">
        <v>0</v>
      </c>
      <c r="I469" s="193">
        <v>0</v>
      </c>
      <c r="J469" s="321" t="str">
        <f t="shared" ref="J469:J484" si="43">CONCATENATE(A469,"/",B469,"/",C469,"/",D469,"/",E469,"/",F469,"/",G469,"/",H469,"/",I469)</f>
        <v>3322/5171/2870/13019/0/0/0/0/0</v>
      </c>
      <c r="K469" s="321" t="s">
        <v>3811</v>
      </c>
      <c r="L469" s="201"/>
      <c r="M469" s="201"/>
      <c r="N469" s="201"/>
      <c r="O469" s="201"/>
      <c r="P469" s="201">
        <v>3351388.95</v>
      </c>
      <c r="Q469" s="201">
        <v>2400000</v>
      </c>
      <c r="R469" s="201">
        <v>2400000</v>
      </c>
      <c r="S469" s="201"/>
      <c r="T469" s="201"/>
      <c r="U469" s="403"/>
      <c r="V469" s="351"/>
    </row>
    <row r="470" spans="1:22" ht="30" outlineLevel="2" x14ac:dyDescent="0.25">
      <c r="A470" s="193">
        <v>3322</v>
      </c>
      <c r="B470" s="193">
        <v>5171</v>
      </c>
      <c r="C470" s="193">
        <v>2870</v>
      </c>
      <c r="D470" s="193">
        <v>11028</v>
      </c>
      <c r="E470" s="193">
        <v>0</v>
      </c>
      <c r="F470" s="194">
        <v>0</v>
      </c>
      <c r="G470" s="193">
        <v>0</v>
      </c>
      <c r="H470" s="193">
        <v>0</v>
      </c>
      <c r="I470" s="193">
        <v>0</v>
      </c>
      <c r="J470" s="321" t="str">
        <f t="shared" si="43"/>
        <v>3322/5171/2870/11028/0/0/0/0/0</v>
      </c>
      <c r="K470" s="321" t="s">
        <v>4885</v>
      </c>
      <c r="L470" s="201"/>
      <c r="M470" s="201"/>
      <c r="N470" s="201"/>
      <c r="O470" s="201"/>
      <c r="P470" s="201"/>
      <c r="Q470" s="201"/>
      <c r="R470" s="201"/>
      <c r="S470" s="201">
        <v>800000</v>
      </c>
      <c r="T470" s="201"/>
      <c r="U470" s="403" t="s">
        <v>4886</v>
      </c>
    </row>
    <row r="471" spans="1:22" ht="30" outlineLevel="2" x14ac:dyDescent="0.25">
      <c r="A471" s="193">
        <v>3322</v>
      </c>
      <c r="B471" s="193">
        <v>5171</v>
      </c>
      <c r="C471" s="193">
        <v>2870</v>
      </c>
      <c r="D471" s="193">
        <v>11031</v>
      </c>
      <c r="E471" s="193">
        <v>0</v>
      </c>
      <c r="F471" s="194">
        <v>0</v>
      </c>
      <c r="G471" s="193">
        <v>0</v>
      </c>
      <c r="H471" s="193">
        <v>0</v>
      </c>
      <c r="I471" s="193">
        <v>0</v>
      </c>
      <c r="J471" s="321" t="str">
        <f t="shared" si="43"/>
        <v>3322/5171/2870/11031/0/0/0/0/0</v>
      </c>
      <c r="K471" s="321" t="s">
        <v>4887</v>
      </c>
      <c r="L471" s="201"/>
      <c r="M471" s="201"/>
      <c r="N471" s="201"/>
      <c r="O471" s="201"/>
      <c r="P471" s="201"/>
      <c r="Q471" s="201"/>
      <c r="R471" s="201"/>
      <c r="S471" s="201">
        <v>800000</v>
      </c>
      <c r="T471" s="201"/>
      <c r="U471" s="403" t="s">
        <v>4888</v>
      </c>
    </row>
    <row r="472" spans="1:22" ht="60" outlineLevel="2" x14ac:dyDescent="0.25">
      <c r="A472" s="193">
        <v>3322</v>
      </c>
      <c r="B472" s="193">
        <v>5171</v>
      </c>
      <c r="C472" s="193">
        <v>2870</v>
      </c>
      <c r="D472" s="193">
        <v>11633</v>
      </c>
      <c r="E472" s="193">
        <v>0</v>
      </c>
      <c r="F472" s="194">
        <v>0</v>
      </c>
      <c r="G472" s="193">
        <v>0</v>
      </c>
      <c r="H472" s="193">
        <v>0</v>
      </c>
      <c r="I472" s="193">
        <v>0</v>
      </c>
      <c r="J472" s="321" t="str">
        <f t="shared" si="43"/>
        <v>3322/5171/2870/11633/0/0/0/0/0</v>
      </c>
      <c r="K472" s="321" t="s">
        <v>3812</v>
      </c>
      <c r="L472" s="201"/>
      <c r="M472" s="201"/>
      <c r="N472" s="201"/>
      <c r="O472" s="201"/>
      <c r="P472" s="201">
        <v>1895284.86</v>
      </c>
      <c r="Q472" s="201">
        <v>1800000</v>
      </c>
      <c r="R472" s="201">
        <v>1800000</v>
      </c>
      <c r="S472" s="201">
        <v>3100000</v>
      </c>
      <c r="T472" s="201"/>
      <c r="U472" s="403" t="s">
        <v>4892</v>
      </c>
    </row>
    <row r="473" spans="1:22" ht="45" outlineLevel="2" x14ac:dyDescent="0.25">
      <c r="A473" s="193">
        <v>3322</v>
      </c>
      <c r="B473" s="193">
        <v>5171</v>
      </c>
      <c r="C473" s="193">
        <v>2870</v>
      </c>
      <c r="D473" s="193">
        <v>11016</v>
      </c>
      <c r="E473" s="193">
        <v>0</v>
      </c>
      <c r="F473" s="194">
        <v>0</v>
      </c>
      <c r="G473" s="193">
        <v>0</v>
      </c>
      <c r="H473" s="193">
        <v>1</v>
      </c>
      <c r="I473" s="193">
        <v>0</v>
      </c>
      <c r="J473" s="321" t="str">
        <f t="shared" si="43"/>
        <v>3322/5171/2870/11016/0/0/0/1/0</v>
      </c>
      <c r="K473" s="321" t="s">
        <v>5165</v>
      </c>
      <c r="L473" s="201"/>
      <c r="M473" s="201"/>
      <c r="N473" s="201"/>
      <c r="O473" s="201"/>
      <c r="P473" s="201">
        <v>928372.2</v>
      </c>
      <c r="Q473" s="201">
        <v>1200000</v>
      </c>
      <c r="R473" s="201">
        <v>1200000</v>
      </c>
      <c r="S473" s="201">
        <v>2100000</v>
      </c>
      <c r="T473" s="201"/>
      <c r="U473" s="403" t="s">
        <v>4884</v>
      </c>
    </row>
    <row r="474" spans="1:22" s="59" customFormat="1" ht="45" outlineLevel="2" x14ac:dyDescent="0.25">
      <c r="A474" s="193">
        <v>3322</v>
      </c>
      <c r="B474" s="193">
        <v>5171</v>
      </c>
      <c r="C474" s="193">
        <v>2870</v>
      </c>
      <c r="D474" s="193">
        <v>11023</v>
      </c>
      <c r="E474" s="193">
        <v>0</v>
      </c>
      <c r="F474" s="194">
        <v>0</v>
      </c>
      <c r="G474" s="193">
        <v>0</v>
      </c>
      <c r="H474" s="193">
        <v>0</v>
      </c>
      <c r="I474" s="193">
        <v>0</v>
      </c>
      <c r="J474" s="321" t="str">
        <f t="shared" si="43"/>
        <v>3322/5171/2870/11023/0/0/0/0/0</v>
      </c>
      <c r="K474" s="321" t="s">
        <v>3813</v>
      </c>
      <c r="L474" s="201"/>
      <c r="M474" s="201"/>
      <c r="N474" s="201"/>
      <c r="O474" s="201"/>
      <c r="P474" s="201">
        <v>2021511.66</v>
      </c>
      <c r="Q474" s="201">
        <v>1845000</v>
      </c>
      <c r="R474" s="201">
        <v>1845000</v>
      </c>
      <c r="S474" s="201">
        <v>3100000</v>
      </c>
      <c r="T474" s="201"/>
      <c r="U474" s="403" t="s">
        <v>4889</v>
      </c>
      <c r="V474" s="351"/>
    </row>
    <row r="475" spans="1:22" s="173" customFormat="1" outlineLevel="2" x14ac:dyDescent="0.25">
      <c r="A475" s="193">
        <v>3322</v>
      </c>
      <c r="B475" s="193">
        <v>5169</v>
      </c>
      <c r="C475" s="193">
        <v>2870</v>
      </c>
      <c r="D475" s="449">
        <v>68200</v>
      </c>
      <c r="E475" s="193">
        <v>0</v>
      </c>
      <c r="F475" s="194">
        <v>0</v>
      </c>
      <c r="G475" s="193">
        <v>0</v>
      </c>
      <c r="H475" s="193">
        <v>0</v>
      </c>
      <c r="I475" s="193">
        <v>0</v>
      </c>
      <c r="J475" s="321" t="str">
        <f t="shared" si="43"/>
        <v>3322/5169/2870/68200/0/0/0/0/0</v>
      </c>
      <c r="K475" s="321" t="s">
        <v>4613</v>
      </c>
      <c r="L475" s="201"/>
      <c r="M475" s="201"/>
      <c r="N475" s="201"/>
      <c r="O475" s="201"/>
      <c r="P475" s="201">
        <v>160000</v>
      </c>
      <c r="Q475" s="201">
        <v>65000</v>
      </c>
      <c r="R475" s="201">
        <v>228000</v>
      </c>
      <c r="S475" s="201"/>
      <c r="T475" s="201"/>
      <c r="U475" s="403"/>
      <c r="V475" s="359"/>
    </row>
    <row r="476" spans="1:22" s="59" customFormat="1" outlineLevel="2" x14ac:dyDescent="0.25">
      <c r="A476" s="209">
        <v>6171</v>
      </c>
      <c r="B476" s="441">
        <v>5179</v>
      </c>
      <c r="C476" s="209">
        <v>2870</v>
      </c>
      <c r="D476" s="209">
        <v>48604</v>
      </c>
      <c r="E476" s="209">
        <v>0</v>
      </c>
      <c r="F476" s="210">
        <v>0</v>
      </c>
      <c r="G476" s="209">
        <v>0</v>
      </c>
      <c r="H476" s="209">
        <v>0</v>
      </c>
      <c r="I476" s="209">
        <v>0</v>
      </c>
      <c r="J476" s="324" t="str">
        <f t="shared" si="43"/>
        <v>6171/5179/2870/48604/0/0/0/0/0</v>
      </c>
      <c r="K476" s="324" t="s">
        <v>249</v>
      </c>
      <c r="L476" s="206">
        <v>24486</v>
      </c>
      <c r="M476" s="206">
        <v>24643</v>
      </c>
      <c r="N476" s="206">
        <v>24696</v>
      </c>
      <c r="O476" s="206">
        <v>24784</v>
      </c>
      <c r="P476" s="206">
        <v>24994</v>
      </c>
      <c r="Q476" s="206">
        <v>25000</v>
      </c>
      <c r="R476" s="206">
        <v>25000</v>
      </c>
      <c r="S476" s="206">
        <v>25000</v>
      </c>
      <c r="T476" s="206"/>
      <c r="U476" s="531"/>
      <c r="V476" s="351"/>
    </row>
    <row r="477" spans="1:22" outlineLevel="2" x14ac:dyDescent="0.25">
      <c r="A477" s="193">
        <v>3322</v>
      </c>
      <c r="B477" s="193">
        <v>5171</v>
      </c>
      <c r="C477" s="193">
        <v>2870</v>
      </c>
      <c r="D477" s="193">
        <v>52514</v>
      </c>
      <c r="E477" s="193">
        <v>0</v>
      </c>
      <c r="F477" s="194">
        <v>0</v>
      </c>
      <c r="G477" s="193">
        <v>0</v>
      </c>
      <c r="H477" s="193">
        <v>0</v>
      </c>
      <c r="I477" s="193">
        <v>0</v>
      </c>
      <c r="J477" s="321" t="str">
        <f t="shared" si="43"/>
        <v>3322/5171/2870/52514/0/0/0/0/0</v>
      </c>
      <c r="K477" s="321" t="s">
        <v>3814</v>
      </c>
      <c r="L477" s="201"/>
      <c r="M477" s="201"/>
      <c r="N477" s="201"/>
      <c r="O477" s="201"/>
      <c r="P477" s="201">
        <v>2080233.77</v>
      </c>
      <c r="Q477" s="201">
        <v>3533000</v>
      </c>
      <c r="R477" s="201">
        <v>3533000</v>
      </c>
      <c r="S477" s="201"/>
      <c r="T477" s="201"/>
      <c r="U477" s="403"/>
    </row>
    <row r="478" spans="1:22" s="59" customFormat="1" ht="30" outlineLevel="2" x14ac:dyDescent="0.25">
      <c r="A478" s="193">
        <v>3322</v>
      </c>
      <c r="B478" s="193">
        <v>5171</v>
      </c>
      <c r="C478" s="193">
        <v>2870</v>
      </c>
      <c r="D478" s="193">
        <v>11630</v>
      </c>
      <c r="E478" s="193">
        <v>0</v>
      </c>
      <c r="F478" s="194">
        <v>0</v>
      </c>
      <c r="G478" s="193">
        <v>0</v>
      </c>
      <c r="H478" s="193">
        <v>0</v>
      </c>
      <c r="I478" s="193">
        <v>0</v>
      </c>
      <c r="J478" s="321" t="str">
        <f t="shared" si="43"/>
        <v>3322/5171/2870/11630/0/0/0/0/0</v>
      </c>
      <c r="K478" s="321" t="s">
        <v>4891</v>
      </c>
      <c r="L478" s="201"/>
      <c r="M478" s="201"/>
      <c r="N478" s="201"/>
      <c r="O478" s="201"/>
      <c r="P478" s="201"/>
      <c r="Q478" s="201"/>
      <c r="R478" s="201"/>
      <c r="S478" s="201">
        <v>440000</v>
      </c>
      <c r="T478" s="201"/>
      <c r="U478" s="403" t="s">
        <v>4890</v>
      </c>
      <c r="V478" s="351"/>
    </row>
    <row r="479" spans="1:22" outlineLevel="2" x14ac:dyDescent="0.25">
      <c r="A479" s="187">
        <v>3329</v>
      </c>
      <c r="B479" s="187">
        <v>5909</v>
      </c>
      <c r="C479" s="187">
        <v>2870</v>
      </c>
      <c r="D479" s="187">
        <v>30085</v>
      </c>
      <c r="E479" s="187">
        <v>0</v>
      </c>
      <c r="F479" s="187">
        <v>0</v>
      </c>
      <c r="G479" s="187">
        <v>0</v>
      </c>
      <c r="H479" s="187">
        <v>0</v>
      </c>
      <c r="I479" s="187">
        <v>0</v>
      </c>
      <c r="J479" s="327" t="str">
        <f t="shared" si="43"/>
        <v>3329/5909/2870/30085/0/0/0/0/0</v>
      </c>
      <c r="K479" s="327" t="s">
        <v>3745</v>
      </c>
      <c r="L479" s="200"/>
      <c r="M479" s="200"/>
      <c r="N479" s="200"/>
      <c r="O479" s="200">
        <v>100000</v>
      </c>
      <c r="P479" s="200"/>
      <c r="Q479" s="200"/>
      <c r="R479" s="200"/>
      <c r="S479" s="200"/>
      <c r="T479" s="200"/>
      <c r="U479" s="403"/>
    </row>
    <row r="480" spans="1:22" outlineLevel="2" x14ac:dyDescent="0.25">
      <c r="A480" s="197">
        <v>3322</v>
      </c>
      <c r="B480" s="197">
        <v>5171</v>
      </c>
      <c r="C480" s="197">
        <v>2870</v>
      </c>
      <c r="D480" s="197">
        <v>0</v>
      </c>
      <c r="E480" s="197">
        <v>0</v>
      </c>
      <c r="F480" s="306">
        <v>999999</v>
      </c>
      <c r="G480" s="197">
        <v>0</v>
      </c>
      <c r="H480" s="197">
        <v>0</v>
      </c>
      <c r="I480" s="197">
        <v>0</v>
      </c>
      <c r="J480" s="334" t="str">
        <f t="shared" si="43"/>
        <v>3322/5171/2870/0/0/999999/0/0/0</v>
      </c>
      <c r="K480" s="334" t="s">
        <v>3736</v>
      </c>
      <c r="L480" s="362">
        <v>2675000</v>
      </c>
      <c r="M480" s="362">
        <v>2875000</v>
      </c>
      <c r="N480" s="362">
        <v>3505000</v>
      </c>
      <c r="O480" s="362">
        <v>3535000</v>
      </c>
      <c r="P480" s="362"/>
      <c r="Q480" s="362"/>
      <c r="R480" s="362"/>
      <c r="S480" s="362"/>
      <c r="T480" s="362"/>
      <c r="U480" s="532"/>
    </row>
    <row r="481" spans="1:22" s="66" customFormat="1" outlineLevel="2" x14ac:dyDescent="0.25">
      <c r="A481" s="193">
        <v>3322</v>
      </c>
      <c r="B481" s="193">
        <v>5171</v>
      </c>
      <c r="C481" s="193">
        <v>2870</v>
      </c>
      <c r="D481" s="193">
        <v>0</v>
      </c>
      <c r="E481" s="193">
        <v>0</v>
      </c>
      <c r="F481" s="194">
        <v>0</v>
      </c>
      <c r="G481" s="193">
        <v>0</v>
      </c>
      <c r="H481" s="193">
        <v>0</v>
      </c>
      <c r="I481" s="193">
        <v>0</v>
      </c>
      <c r="J481" s="321" t="str">
        <f t="shared" si="43"/>
        <v>3322/5171/2870/0/0/0/0/0/0</v>
      </c>
      <c r="K481" s="321" t="s">
        <v>447</v>
      </c>
      <c r="L481" s="201">
        <v>6730419.3300000001</v>
      </c>
      <c r="M481" s="201">
        <v>6661090.4500000002</v>
      </c>
      <c r="N481" s="201">
        <v>7744451.2699999996</v>
      </c>
      <c r="O481" s="201">
        <v>6728351.4199999999</v>
      </c>
      <c r="P481" s="201">
        <v>19780</v>
      </c>
      <c r="Q481" s="201">
        <v>200000</v>
      </c>
      <c r="R481" s="201">
        <v>512000</v>
      </c>
      <c r="S481" s="201">
        <v>200000</v>
      </c>
      <c r="T481" s="201"/>
      <c r="U481" s="403"/>
      <c r="V481" s="357"/>
    </row>
    <row r="482" spans="1:22" ht="45" outlineLevel="2" x14ac:dyDescent="0.25">
      <c r="A482" s="193">
        <v>3322</v>
      </c>
      <c r="B482" s="193">
        <v>5169</v>
      </c>
      <c r="C482" s="193">
        <v>2870</v>
      </c>
      <c r="D482" s="193">
        <v>0</v>
      </c>
      <c r="E482" s="193">
        <v>0</v>
      </c>
      <c r="F482" s="194">
        <v>0</v>
      </c>
      <c r="G482" s="193">
        <v>0</v>
      </c>
      <c r="H482" s="193">
        <v>0</v>
      </c>
      <c r="I482" s="193">
        <v>0</v>
      </c>
      <c r="J482" s="321" t="str">
        <f t="shared" si="43"/>
        <v>3322/5169/2870/0/0/0/0/0/0</v>
      </c>
      <c r="K482" s="321" t="s">
        <v>404</v>
      </c>
      <c r="L482" s="201">
        <v>96746.2</v>
      </c>
      <c r="M482" s="201">
        <v>192200.4</v>
      </c>
      <c r="N482" s="201">
        <v>69586</v>
      </c>
      <c r="O482" s="201">
        <v>46434</v>
      </c>
      <c r="P482" s="201">
        <v>2110</v>
      </c>
      <c r="Q482" s="201">
        <v>50000</v>
      </c>
      <c r="R482" s="201">
        <v>50000</v>
      </c>
      <c r="S482" s="201">
        <f>625000+600000</f>
        <v>1225000</v>
      </c>
      <c r="T482" s="201"/>
      <c r="U482" s="403" t="s">
        <v>5156</v>
      </c>
    </row>
    <row r="483" spans="1:22" s="173" customFormat="1" outlineLevel="2" x14ac:dyDescent="0.25">
      <c r="A483" s="193">
        <v>3322</v>
      </c>
      <c r="B483" s="193">
        <v>5169</v>
      </c>
      <c r="C483" s="193">
        <v>2870</v>
      </c>
      <c r="D483" s="193">
        <v>0</v>
      </c>
      <c r="E483" s="193">
        <v>0</v>
      </c>
      <c r="F483" s="194">
        <v>0</v>
      </c>
      <c r="G483" s="193">
        <v>0</v>
      </c>
      <c r="H483" s="193">
        <v>1</v>
      </c>
      <c r="I483" s="193">
        <v>0</v>
      </c>
      <c r="J483" s="321" t="str">
        <f t="shared" si="43"/>
        <v>3322/5169/2870/0/0/0/0/1/0</v>
      </c>
      <c r="K483" s="321" t="s">
        <v>3804</v>
      </c>
      <c r="L483" s="201">
        <v>6529</v>
      </c>
      <c r="M483" s="201">
        <v>7011</v>
      </c>
      <c r="N483" s="201">
        <v>900</v>
      </c>
      <c r="O483" s="201"/>
      <c r="P483" s="201">
        <v>3916</v>
      </c>
      <c r="Q483" s="201">
        <v>10000</v>
      </c>
      <c r="R483" s="201">
        <v>10000</v>
      </c>
      <c r="S483" s="201">
        <v>10000</v>
      </c>
      <c r="T483" s="201"/>
      <c r="U483" s="403"/>
      <c r="V483" s="359"/>
    </row>
    <row r="484" spans="1:22" s="59" customFormat="1" outlineLevel="2" x14ac:dyDescent="0.25">
      <c r="A484" s="193">
        <v>3322</v>
      </c>
      <c r="B484" s="193">
        <v>5166</v>
      </c>
      <c r="C484" s="193">
        <v>2870</v>
      </c>
      <c r="D484" s="193">
        <v>0</v>
      </c>
      <c r="E484" s="193">
        <v>0</v>
      </c>
      <c r="F484" s="194">
        <v>0</v>
      </c>
      <c r="G484" s="193">
        <v>0</v>
      </c>
      <c r="H484" s="193">
        <v>0</v>
      </c>
      <c r="I484" s="193">
        <v>0</v>
      </c>
      <c r="J484" s="321" t="str">
        <f t="shared" si="43"/>
        <v>3322/5166/2870/0/0/0/0/0/0</v>
      </c>
      <c r="K484" s="321" t="s">
        <v>448</v>
      </c>
      <c r="L484" s="201">
        <v>58494</v>
      </c>
      <c r="M484" s="201">
        <v>87744.4</v>
      </c>
      <c r="N484" s="201">
        <v>29000</v>
      </c>
      <c r="O484" s="201">
        <v>16800</v>
      </c>
      <c r="P484" s="201"/>
      <c r="Q484" s="201">
        <v>200000</v>
      </c>
      <c r="R484" s="201">
        <v>200000</v>
      </c>
      <c r="S484" s="201">
        <v>100000</v>
      </c>
      <c r="T484" s="201"/>
      <c r="U484" s="403"/>
      <c r="V484" s="351"/>
    </row>
    <row r="485" spans="1:22" s="59" customFormat="1" outlineLevel="1" x14ac:dyDescent="0.25">
      <c r="A485" s="491"/>
      <c r="B485" s="491"/>
      <c r="C485" s="499" t="s">
        <v>4679</v>
      </c>
      <c r="D485" s="491"/>
      <c r="E485" s="491"/>
      <c r="F485" s="492"/>
      <c r="G485" s="491"/>
      <c r="H485" s="491"/>
      <c r="I485" s="491"/>
      <c r="J485" s="493">
        <v>2870</v>
      </c>
      <c r="K485" s="493" t="str">
        <f>VLOOKUP(J485,orJ_správce_telefon_mail!A:B,2,0)</f>
        <v>Oddělení památkové péče - Ing. Žáčková</v>
      </c>
      <c r="L485" s="494">
        <f t="shared" ref="L485:T485" si="44">SUBTOTAL(9,L469:L484)</f>
        <v>9591674.5299999993</v>
      </c>
      <c r="M485" s="494">
        <f t="shared" si="44"/>
        <v>9847689.25</v>
      </c>
      <c r="N485" s="494">
        <f t="shared" si="44"/>
        <v>11373633.27</v>
      </c>
      <c r="O485" s="494">
        <f t="shared" si="44"/>
        <v>10451369.42</v>
      </c>
      <c r="P485" s="494">
        <f t="shared" si="44"/>
        <v>10487591.440000001</v>
      </c>
      <c r="Q485" s="494">
        <f t="shared" si="44"/>
        <v>11328000</v>
      </c>
      <c r="R485" s="494">
        <f t="shared" si="44"/>
        <v>11803000</v>
      </c>
      <c r="S485" s="494">
        <f t="shared" si="44"/>
        <v>11900000</v>
      </c>
      <c r="T485" s="494">
        <f t="shared" si="44"/>
        <v>0</v>
      </c>
      <c r="U485" s="541"/>
      <c r="V485" s="351"/>
    </row>
    <row r="486" spans="1:22" s="59" customFormat="1" outlineLevel="2" x14ac:dyDescent="0.25">
      <c r="A486" s="193">
        <v>3322</v>
      </c>
      <c r="B486" s="193">
        <v>5493</v>
      </c>
      <c r="C486" s="193">
        <v>2899</v>
      </c>
      <c r="D486" s="193">
        <v>69470</v>
      </c>
      <c r="E486" s="193">
        <v>0</v>
      </c>
      <c r="F486" s="194">
        <v>0</v>
      </c>
      <c r="G486" s="193">
        <v>0</v>
      </c>
      <c r="H486" s="193">
        <v>0</v>
      </c>
      <c r="I486" s="193">
        <v>0</v>
      </c>
      <c r="J486" s="321" t="str">
        <f>CONCATENATE(A486,"/",B486,"/",C486,"/",D486,"/",E486,"/",F486,"/",G486,"/",H486,"/",I486)</f>
        <v>3322/5493/2899/69470/0/0/0/0/0</v>
      </c>
      <c r="K486" s="321" t="s">
        <v>449</v>
      </c>
      <c r="L486" s="201">
        <v>1255500</v>
      </c>
      <c r="M486" s="201">
        <v>800000</v>
      </c>
      <c r="N486" s="201">
        <v>1289000</v>
      </c>
      <c r="O486" s="201">
        <v>2029660</v>
      </c>
      <c r="P486" s="201">
        <v>1813000</v>
      </c>
      <c r="Q486" s="201">
        <v>1100000</v>
      </c>
      <c r="R486" s="201">
        <v>1178772</v>
      </c>
      <c r="S486" s="201">
        <v>1250000</v>
      </c>
      <c r="T486" s="201"/>
      <c r="U486" s="403"/>
      <c r="V486" s="351"/>
    </row>
    <row r="487" spans="1:22" s="173" customFormat="1" outlineLevel="2" x14ac:dyDescent="0.25">
      <c r="A487" s="209">
        <v>3322</v>
      </c>
      <c r="B487" s="209">
        <v>5213</v>
      </c>
      <c r="C487" s="209">
        <v>2899</v>
      </c>
      <c r="D487" s="209">
        <v>69470</v>
      </c>
      <c r="E487" s="209">
        <v>0</v>
      </c>
      <c r="F487" s="210">
        <v>0</v>
      </c>
      <c r="G487" s="209">
        <v>0</v>
      </c>
      <c r="H487" s="209">
        <v>0</v>
      </c>
      <c r="I487" s="209">
        <v>0</v>
      </c>
      <c r="J487" s="324" t="str">
        <f>CONCATENATE(A487,"/",B487,"/",C487,"/",D487,"/",E487,"/",F487,"/",G487,"/",H487,"/",I487)</f>
        <v>3322/5213/2899/69470/0/0/0/0/0</v>
      </c>
      <c r="K487" s="324" t="s">
        <v>5069</v>
      </c>
      <c r="L487" s="206">
        <v>0</v>
      </c>
      <c r="M487" s="206">
        <v>290000</v>
      </c>
      <c r="N487" s="206"/>
      <c r="O487" s="206">
        <v>211100</v>
      </c>
      <c r="P487" s="206">
        <v>187200</v>
      </c>
      <c r="Q487" s="206">
        <v>200000</v>
      </c>
      <c r="R487" s="206">
        <v>647000</v>
      </c>
      <c r="S487" s="206">
        <v>200000</v>
      </c>
      <c r="T487" s="206"/>
      <c r="U487" s="531"/>
      <c r="V487" s="359"/>
    </row>
    <row r="488" spans="1:22" s="62" customFormat="1" outlineLevel="2" x14ac:dyDescent="0.25">
      <c r="A488" s="209">
        <v>3322</v>
      </c>
      <c r="B488" s="209">
        <v>5223</v>
      </c>
      <c r="C488" s="209">
        <v>2899</v>
      </c>
      <c r="D488" s="209">
        <v>69470</v>
      </c>
      <c r="E488" s="209">
        <v>0</v>
      </c>
      <c r="F488" s="210">
        <v>0</v>
      </c>
      <c r="G488" s="209">
        <v>0</v>
      </c>
      <c r="H488" s="209">
        <v>0</v>
      </c>
      <c r="I488" s="209">
        <v>0</v>
      </c>
      <c r="J488" s="324" t="str">
        <f>CONCATENATE(A488,"/",B488,"/",C488,"/",D488,"/",E488,"/",F488,"/",G488,"/",H488,"/",I488)</f>
        <v>3322/5223/2899/69470/0/0/0/0/0</v>
      </c>
      <c r="K488" s="324" t="s">
        <v>450</v>
      </c>
      <c r="L488" s="206">
        <v>1190000</v>
      </c>
      <c r="M488" s="206">
        <v>1020000</v>
      </c>
      <c r="N488" s="206">
        <v>271000</v>
      </c>
      <c r="O488" s="206">
        <v>296600</v>
      </c>
      <c r="P488" s="206">
        <v>711900</v>
      </c>
      <c r="Q488" s="206">
        <v>600000</v>
      </c>
      <c r="R488" s="206">
        <v>535000</v>
      </c>
      <c r="S488" s="206">
        <v>500000</v>
      </c>
      <c r="T488" s="206"/>
      <c r="U488" s="531"/>
      <c r="V488" s="355"/>
    </row>
    <row r="489" spans="1:22" outlineLevel="2" x14ac:dyDescent="0.25">
      <c r="A489" s="193">
        <v>3322</v>
      </c>
      <c r="B489" s="193">
        <v>5493</v>
      </c>
      <c r="C489" s="193">
        <v>2899</v>
      </c>
      <c r="D489" s="193">
        <v>69471</v>
      </c>
      <c r="E489" s="193">
        <v>0</v>
      </c>
      <c r="F489" s="194">
        <v>0</v>
      </c>
      <c r="G489" s="193">
        <v>0</v>
      </c>
      <c r="H489" s="193">
        <v>0</v>
      </c>
      <c r="I489" s="193">
        <v>0</v>
      </c>
      <c r="J489" s="321" t="str">
        <f>CONCATENATE(A489,"/",B489,"/",C489,"/",D489,"/",E489,"/",F489,"/",G489,"/",H489,"/",I489)</f>
        <v>3322/5493/2899/69471/0/0/0/0/0</v>
      </c>
      <c r="K489" s="321" t="s">
        <v>451</v>
      </c>
      <c r="L489" s="201">
        <v>4320</v>
      </c>
      <c r="M489" s="201"/>
      <c r="N489" s="201"/>
      <c r="O489" s="201"/>
      <c r="P489" s="201"/>
      <c r="Q489" s="201">
        <v>100000</v>
      </c>
      <c r="R489" s="201">
        <v>90000</v>
      </c>
      <c r="S489" s="201"/>
      <c r="T489" s="201"/>
      <c r="U489" s="403"/>
    </row>
    <row r="490" spans="1:22" s="173" customFormat="1" outlineLevel="2" x14ac:dyDescent="0.25">
      <c r="A490" s="193">
        <v>3322</v>
      </c>
      <c r="B490" s="193">
        <v>5213</v>
      </c>
      <c r="C490" s="193">
        <v>2899</v>
      </c>
      <c r="D490" s="193">
        <v>69471</v>
      </c>
      <c r="E490" s="193">
        <v>0</v>
      </c>
      <c r="F490" s="194">
        <v>0</v>
      </c>
      <c r="G490" s="193">
        <v>0</v>
      </c>
      <c r="H490" s="193">
        <v>0</v>
      </c>
      <c r="I490" s="193">
        <v>0</v>
      </c>
      <c r="J490" s="321" t="s">
        <v>4761</v>
      </c>
      <c r="K490" s="321" t="s">
        <v>4711</v>
      </c>
      <c r="L490" s="201"/>
      <c r="M490" s="201"/>
      <c r="N490" s="201"/>
      <c r="O490" s="201"/>
      <c r="P490" s="201"/>
      <c r="Q490" s="201"/>
      <c r="R490" s="201">
        <v>10000</v>
      </c>
      <c r="S490" s="201">
        <v>50000</v>
      </c>
      <c r="T490" s="201"/>
      <c r="U490" s="403"/>
      <c r="V490" s="359"/>
    </row>
    <row r="491" spans="1:22" s="59" customFormat="1" outlineLevel="2" x14ac:dyDescent="0.25">
      <c r="A491" s="193">
        <v>6310</v>
      </c>
      <c r="B491" s="193">
        <v>5163</v>
      </c>
      <c r="C491" s="193">
        <v>2899</v>
      </c>
      <c r="D491" s="193">
        <v>0</v>
      </c>
      <c r="E491" s="193">
        <v>0</v>
      </c>
      <c r="F491" s="194">
        <v>0</v>
      </c>
      <c r="G491" s="193">
        <v>0</v>
      </c>
      <c r="H491" s="193">
        <v>0</v>
      </c>
      <c r="I491" s="193">
        <v>0</v>
      </c>
      <c r="J491" s="321" t="str">
        <f>CONCATENATE(A491,"/",B491,"/",C491,"/",D491,"/",E491,"/",F491,"/",G491,"/",H491,"/",I491)</f>
        <v>6310/5163/2899/0/0/0/0/0/0</v>
      </c>
      <c r="K491" s="321" t="s">
        <v>452</v>
      </c>
      <c r="L491" s="201">
        <v>500</v>
      </c>
      <c r="M491" s="201">
        <v>600</v>
      </c>
      <c r="N491" s="201"/>
      <c r="O491" s="201"/>
      <c r="P491" s="201"/>
      <c r="Q491" s="201"/>
      <c r="R491" s="201"/>
      <c r="S491" s="201"/>
      <c r="T491" s="201"/>
      <c r="U491" s="403"/>
      <c r="V491" s="351"/>
    </row>
    <row r="492" spans="1:22" s="59" customFormat="1" outlineLevel="1" x14ac:dyDescent="0.25">
      <c r="A492" s="491"/>
      <c r="B492" s="491"/>
      <c r="C492" s="499" t="s">
        <v>5013</v>
      </c>
      <c r="D492" s="491"/>
      <c r="E492" s="491"/>
      <c r="F492" s="492"/>
      <c r="G492" s="491"/>
      <c r="H492" s="491"/>
      <c r="I492" s="491"/>
      <c r="J492" s="493">
        <v>2899</v>
      </c>
      <c r="K492" s="493" t="str">
        <f>VLOOKUP(J492,orJ_správce_telefon_mail!A:B,2,0)</f>
        <v>Fond regenerace památek - spadá pod Odd.památek</v>
      </c>
      <c r="L492" s="494">
        <f t="shared" ref="L492:T492" si="45">SUBTOTAL(9,L486:L491)</f>
        <v>2450320</v>
      </c>
      <c r="M492" s="494">
        <f t="shared" si="45"/>
        <v>2110600</v>
      </c>
      <c r="N492" s="494">
        <f t="shared" si="45"/>
        <v>1560000</v>
      </c>
      <c r="O492" s="494">
        <f t="shared" si="45"/>
        <v>2537360</v>
      </c>
      <c r="P492" s="494">
        <f t="shared" si="45"/>
        <v>2712100</v>
      </c>
      <c r="Q492" s="494">
        <f t="shared" si="45"/>
        <v>2000000</v>
      </c>
      <c r="R492" s="494">
        <f t="shared" si="45"/>
        <v>2460772</v>
      </c>
      <c r="S492" s="494">
        <f t="shared" si="45"/>
        <v>2000000</v>
      </c>
      <c r="T492" s="494">
        <f t="shared" si="45"/>
        <v>0</v>
      </c>
      <c r="U492" s="541"/>
      <c r="V492" s="351"/>
    </row>
    <row r="493" spans="1:22" s="59" customFormat="1" outlineLevel="2" x14ac:dyDescent="0.25">
      <c r="A493" s="193">
        <v>3612</v>
      </c>
      <c r="B493" s="442">
        <v>5154</v>
      </c>
      <c r="C493" s="193">
        <v>2950</v>
      </c>
      <c r="D493" s="193">
        <v>69200</v>
      </c>
      <c r="E493" s="193">
        <v>0</v>
      </c>
      <c r="F493" s="194">
        <v>0</v>
      </c>
      <c r="G493" s="193">
        <v>0</v>
      </c>
      <c r="H493" s="193">
        <v>0</v>
      </c>
      <c r="I493" s="193">
        <v>0</v>
      </c>
      <c r="J493" s="321" t="str">
        <f t="shared" ref="J493:J506" si="46">CONCATENATE(A493,"/",B493,"/",C493,"/",D493,"/",E493,"/",F493,"/",G493,"/",H493,"/",I493)</f>
        <v>3612/5154/2950/69200/0/0/0/0/0</v>
      </c>
      <c r="K493" s="321" t="s">
        <v>453</v>
      </c>
      <c r="L493" s="201">
        <f>381310.41</f>
        <v>381310.41</v>
      </c>
      <c r="M493" s="201">
        <v>520605.63</v>
      </c>
      <c r="N493" s="201">
        <v>544496.29</v>
      </c>
      <c r="O493" s="201">
        <v>463960.46</v>
      </c>
      <c r="P493" s="201">
        <v>483980.07</v>
      </c>
      <c r="Q493" s="201">
        <v>400000</v>
      </c>
      <c r="R493" s="201">
        <v>330130</v>
      </c>
      <c r="S493" s="201">
        <v>550000</v>
      </c>
      <c r="T493" s="201"/>
      <c r="U493" s="403"/>
      <c r="V493" s="351"/>
    </row>
    <row r="494" spans="1:22" s="59" customFormat="1" outlineLevel="2" x14ac:dyDescent="0.25">
      <c r="A494" s="193">
        <v>3612</v>
      </c>
      <c r="B494" s="442">
        <v>5169</v>
      </c>
      <c r="C494" s="193">
        <v>2950</v>
      </c>
      <c r="D494" s="193">
        <v>0</v>
      </c>
      <c r="E494" s="193">
        <v>0</v>
      </c>
      <c r="F494" s="194">
        <v>0</v>
      </c>
      <c r="G494" s="193">
        <v>0</v>
      </c>
      <c r="H494" s="193">
        <v>7</v>
      </c>
      <c r="I494" s="193">
        <v>0</v>
      </c>
      <c r="J494" s="321" t="str">
        <f t="shared" si="46"/>
        <v>3612/5169/2950/0/0/0/0/7/0</v>
      </c>
      <c r="K494" s="321" t="s">
        <v>454</v>
      </c>
      <c r="L494" s="201">
        <f>4789.01+1100</f>
        <v>5889.01</v>
      </c>
      <c r="M494" s="201">
        <v>598</v>
      </c>
      <c r="N494" s="201">
        <v>3590</v>
      </c>
      <c r="O494" s="201">
        <v>7286</v>
      </c>
      <c r="P494" s="201">
        <v>4189</v>
      </c>
      <c r="Q494" s="201">
        <v>7000</v>
      </c>
      <c r="R494" s="201">
        <v>7000</v>
      </c>
      <c r="S494" s="201">
        <v>7000</v>
      </c>
      <c r="T494" s="201"/>
      <c r="U494" s="403"/>
      <c r="V494" s="351"/>
    </row>
    <row r="495" spans="1:22" outlineLevel="2" x14ac:dyDescent="0.25">
      <c r="A495" s="193">
        <v>3612</v>
      </c>
      <c r="B495" s="442">
        <v>5153</v>
      </c>
      <c r="C495" s="193">
        <v>2950</v>
      </c>
      <c r="D495" s="193">
        <v>69200</v>
      </c>
      <c r="E495" s="193">
        <v>0</v>
      </c>
      <c r="F495" s="194">
        <v>0</v>
      </c>
      <c r="G495" s="193">
        <v>0</v>
      </c>
      <c r="H495" s="193">
        <v>0</v>
      </c>
      <c r="I495" s="193">
        <v>0</v>
      </c>
      <c r="J495" s="321" t="str">
        <f t="shared" si="46"/>
        <v>3612/5153/2950/69200/0/0/0/0/0</v>
      </c>
      <c r="K495" s="321" t="s">
        <v>455</v>
      </c>
      <c r="L495" s="201">
        <v>1127925.23</v>
      </c>
      <c r="M495" s="201">
        <v>1142599.6299999999</v>
      </c>
      <c r="N495" s="201">
        <v>966375.61</v>
      </c>
      <c r="O495" s="201">
        <v>906384.6</v>
      </c>
      <c r="P495" s="201">
        <v>817441.92</v>
      </c>
      <c r="Q495" s="201">
        <v>1927000</v>
      </c>
      <c r="R495" s="201">
        <v>1927000</v>
      </c>
      <c r="S495" s="201">
        <v>2700000</v>
      </c>
      <c r="T495" s="201"/>
      <c r="U495" s="403"/>
    </row>
    <row r="496" spans="1:22" outlineLevel="2" x14ac:dyDescent="0.25">
      <c r="A496" s="193">
        <v>3612</v>
      </c>
      <c r="B496" s="442">
        <v>5164</v>
      </c>
      <c r="C496" s="193">
        <v>2950</v>
      </c>
      <c r="D496" s="193">
        <v>0</v>
      </c>
      <c r="E496" s="193">
        <v>0</v>
      </c>
      <c r="F496" s="194">
        <v>0</v>
      </c>
      <c r="G496" s="193">
        <v>0</v>
      </c>
      <c r="H496" s="193">
        <v>0</v>
      </c>
      <c r="I496" s="193">
        <v>0</v>
      </c>
      <c r="J496" s="321" t="str">
        <f t="shared" si="46"/>
        <v>3612/5164/2950/0/0/0/0/0/0</v>
      </c>
      <c r="K496" s="321" t="s">
        <v>456</v>
      </c>
      <c r="L496" s="201">
        <v>23328</v>
      </c>
      <c r="M496" s="201">
        <v>23328</v>
      </c>
      <c r="N496" s="201">
        <v>23328</v>
      </c>
      <c r="O496" s="201">
        <v>26375.01</v>
      </c>
      <c r="P496" s="201">
        <v>21904.799999999999</v>
      </c>
      <c r="Q496" s="201">
        <v>27000</v>
      </c>
      <c r="R496" s="201">
        <v>27000</v>
      </c>
      <c r="S496" s="201">
        <v>27000</v>
      </c>
      <c r="T496" s="201"/>
      <c r="U496" s="403"/>
    </row>
    <row r="497" spans="1:22" s="66" customFormat="1" outlineLevel="2" x14ac:dyDescent="0.25">
      <c r="A497" s="193">
        <v>3612</v>
      </c>
      <c r="B497" s="442">
        <v>5152</v>
      </c>
      <c r="C497" s="193">
        <v>2950</v>
      </c>
      <c r="D497" s="193">
        <v>69200</v>
      </c>
      <c r="E497" s="193">
        <v>0</v>
      </c>
      <c r="F497" s="194">
        <v>0</v>
      </c>
      <c r="G497" s="193">
        <v>0</v>
      </c>
      <c r="H497" s="193">
        <v>0</v>
      </c>
      <c r="I497" s="193">
        <v>0</v>
      </c>
      <c r="J497" s="321" t="str">
        <f t="shared" si="46"/>
        <v>3612/5152/2950/69200/0/0/0/0/0</v>
      </c>
      <c r="K497" s="321" t="s">
        <v>457</v>
      </c>
      <c r="L497" s="201">
        <v>2118332</v>
      </c>
      <c r="M497" s="201">
        <v>1975588</v>
      </c>
      <c r="N497" s="201">
        <v>2068864</v>
      </c>
      <c r="O497" s="201">
        <v>2228605</v>
      </c>
      <c r="P497" s="201">
        <v>1683160</v>
      </c>
      <c r="Q497" s="201">
        <v>2500000</v>
      </c>
      <c r="R497" s="201">
        <v>2500000</v>
      </c>
      <c r="S497" s="201">
        <v>2500000</v>
      </c>
      <c r="T497" s="201"/>
      <c r="U497" s="403"/>
      <c r="V497" s="357"/>
    </row>
    <row r="498" spans="1:22" s="173" customFormat="1" outlineLevel="2" x14ac:dyDescent="0.25">
      <c r="A498" s="193">
        <v>3612</v>
      </c>
      <c r="B498" s="442">
        <v>5151</v>
      </c>
      <c r="C498" s="193">
        <v>2950</v>
      </c>
      <c r="D498" s="193">
        <v>69200</v>
      </c>
      <c r="E498" s="193">
        <v>0</v>
      </c>
      <c r="F498" s="194">
        <v>0</v>
      </c>
      <c r="G498" s="193">
        <v>0</v>
      </c>
      <c r="H498" s="193">
        <v>0</v>
      </c>
      <c r="I498" s="193">
        <v>0</v>
      </c>
      <c r="J498" s="321" t="str">
        <f t="shared" si="46"/>
        <v>3612/5151/2950/69200/0/0/0/0/0</v>
      </c>
      <c r="K498" s="321" t="s">
        <v>458</v>
      </c>
      <c r="L498" s="201">
        <v>3060508.41</v>
      </c>
      <c r="M498" s="201">
        <v>3213304.65</v>
      </c>
      <c r="N498" s="201">
        <v>3084300.58</v>
      </c>
      <c r="O498" s="201">
        <v>3298035.99</v>
      </c>
      <c r="P498" s="201">
        <v>3153048.89</v>
      </c>
      <c r="Q498" s="201">
        <v>3200000</v>
      </c>
      <c r="R498" s="201">
        <v>3200000</v>
      </c>
      <c r="S498" s="201">
        <v>3200000</v>
      </c>
      <c r="T498" s="201"/>
      <c r="U498" s="403"/>
      <c r="V498" s="351"/>
    </row>
    <row r="499" spans="1:22" outlineLevel="2" x14ac:dyDescent="0.25">
      <c r="A499" s="193">
        <v>3612</v>
      </c>
      <c r="B499" s="442">
        <v>5909</v>
      </c>
      <c r="C499" s="193">
        <v>2950</v>
      </c>
      <c r="D499" s="193">
        <v>69200</v>
      </c>
      <c r="E499" s="193">
        <v>0</v>
      </c>
      <c r="F499" s="194">
        <v>0</v>
      </c>
      <c r="G499" s="193">
        <v>0</v>
      </c>
      <c r="H499" s="193">
        <v>0</v>
      </c>
      <c r="I499" s="193">
        <v>0</v>
      </c>
      <c r="J499" s="321" t="str">
        <f t="shared" si="46"/>
        <v>3612/5909/2950/69200/0/0/0/0/0</v>
      </c>
      <c r="K499" s="321" t="s">
        <v>459</v>
      </c>
      <c r="L499" s="201">
        <v>1323391</v>
      </c>
      <c r="M499" s="201">
        <v>1594184</v>
      </c>
      <c r="N499" s="201">
        <v>1613730</v>
      </c>
      <c r="O499" s="201">
        <v>1356428</v>
      </c>
      <c r="P499" s="201">
        <v>1326203</v>
      </c>
      <c r="Q499" s="201">
        <v>1400000</v>
      </c>
      <c r="R499" s="201">
        <v>1400000</v>
      </c>
      <c r="S499" s="201">
        <v>1200000</v>
      </c>
      <c r="T499" s="201"/>
      <c r="U499" s="403"/>
      <c r="V499" s="359"/>
    </row>
    <row r="500" spans="1:22" outlineLevel="2" x14ac:dyDescent="0.25">
      <c r="A500" s="193">
        <v>3612</v>
      </c>
      <c r="B500" s="442">
        <v>5168</v>
      </c>
      <c r="C500" s="193">
        <v>2950</v>
      </c>
      <c r="D500" s="193">
        <v>0</v>
      </c>
      <c r="E500" s="193">
        <v>0</v>
      </c>
      <c r="F500" s="194">
        <v>0</v>
      </c>
      <c r="G500" s="193">
        <v>0</v>
      </c>
      <c r="H500" s="193">
        <v>0</v>
      </c>
      <c r="I500" s="193">
        <v>0</v>
      </c>
      <c r="J500" s="321" t="str">
        <f t="shared" si="46"/>
        <v>3612/5168/2950/0/0/0/0/0/0</v>
      </c>
      <c r="K500" s="321" t="s">
        <v>460</v>
      </c>
      <c r="L500" s="201">
        <v>66064</v>
      </c>
      <c r="M500" s="201">
        <v>64352</v>
      </c>
      <c r="N500" s="201">
        <v>65353</v>
      </c>
      <c r="O500" s="201">
        <v>71871</v>
      </c>
      <c r="P500" s="201">
        <v>74147</v>
      </c>
      <c r="Q500" s="201">
        <v>80000</v>
      </c>
      <c r="R500" s="201">
        <v>80000</v>
      </c>
      <c r="S500" s="201">
        <v>80000</v>
      </c>
      <c r="T500" s="201"/>
      <c r="U500" s="403"/>
    </row>
    <row r="501" spans="1:22" outlineLevel="2" x14ac:dyDescent="0.25">
      <c r="A501" s="193">
        <v>3613</v>
      </c>
      <c r="B501" s="193">
        <v>5154</v>
      </c>
      <c r="C501" s="193">
        <v>2950</v>
      </c>
      <c r="D501" s="193">
        <v>15001</v>
      </c>
      <c r="E501" s="193">
        <v>0</v>
      </c>
      <c r="F501" s="194">
        <v>0</v>
      </c>
      <c r="G501" s="193">
        <v>0</v>
      </c>
      <c r="H501" s="193">
        <v>0</v>
      </c>
      <c r="I501" s="193">
        <v>0</v>
      </c>
      <c r="J501" s="321" t="str">
        <f t="shared" si="46"/>
        <v>3613/5154/2950/15001/0/0/0/0/0</v>
      </c>
      <c r="K501" s="321" t="s">
        <v>5070</v>
      </c>
      <c r="L501" s="201">
        <v>35377.69</v>
      </c>
      <c r="M501" s="201">
        <v>686121.31</v>
      </c>
      <c r="N501" s="201">
        <v>963477.46</v>
      </c>
      <c r="O501" s="201">
        <v>1176643.82</v>
      </c>
      <c r="P501" s="201">
        <v>1165272</v>
      </c>
      <c r="Q501" s="201">
        <v>1972000</v>
      </c>
      <c r="R501" s="201">
        <v>1972000</v>
      </c>
      <c r="S501" s="201">
        <v>1972000</v>
      </c>
      <c r="T501" s="201"/>
      <c r="U501" s="403"/>
    </row>
    <row r="502" spans="1:22" s="59" customFormat="1" outlineLevel="2" x14ac:dyDescent="0.25">
      <c r="A502" s="193">
        <v>3613</v>
      </c>
      <c r="B502" s="193">
        <v>5153</v>
      </c>
      <c r="C502" s="193">
        <v>2950</v>
      </c>
      <c r="D502" s="193">
        <v>15001</v>
      </c>
      <c r="E502" s="193">
        <v>0</v>
      </c>
      <c r="F502" s="194">
        <v>0</v>
      </c>
      <c r="G502" s="193">
        <v>0</v>
      </c>
      <c r="H502" s="193">
        <v>0</v>
      </c>
      <c r="I502" s="193">
        <v>0</v>
      </c>
      <c r="J502" s="321" t="str">
        <f t="shared" si="46"/>
        <v>3613/5153/2950/15001/0/0/0/0/0</v>
      </c>
      <c r="K502" s="321" t="s">
        <v>461</v>
      </c>
      <c r="L502" s="201">
        <v>25810.68</v>
      </c>
      <c r="M502" s="201">
        <v>25000</v>
      </c>
      <c r="N502" s="201">
        <v>24000</v>
      </c>
      <c r="O502" s="201">
        <v>44148.58</v>
      </c>
      <c r="P502" s="201">
        <v>45307.55</v>
      </c>
      <c r="Q502" s="201">
        <v>153000</v>
      </c>
      <c r="R502" s="201">
        <v>153000</v>
      </c>
      <c r="S502" s="201">
        <v>180000</v>
      </c>
      <c r="T502" s="201"/>
      <c r="U502" s="403"/>
      <c r="V502" s="343"/>
    </row>
    <row r="503" spans="1:22" outlineLevel="2" x14ac:dyDescent="0.25">
      <c r="A503" s="193">
        <v>3613</v>
      </c>
      <c r="B503" s="193">
        <v>5151</v>
      </c>
      <c r="C503" s="193">
        <v>2950</v>
      </c>
      <c r="D503" s="193">
        <v>15001</v>
      </c>
      <c r="E503" s="193">
        <v>0</v>
      </c>
      <c r="F503" s="194">
        <v>0</v>
      </c>
      <c r="G503" s="193">
        <v>0</v>
      </c>
      <c r="H503" s="193">
        <v>0</v>
      </c>
      <c r="I503" s="193">
        <v>0</v>
      </c>
      <c r="J503" s="321" t="str">
        <f t="shared" si="46"/>
        <v>3613/5151/2950/15001/0/0/0/0/0</v>
      </c>
      <c r="K503" s="321" t="s">
        <v>462</v>
      </c>
      <c r="L503" s="201">
        <v>6858</v>
      </c>
      <c r="M503" s="201">
        <v>1570</v>
      </c>
      <c r="N503" s="201">
        <v>3212</v>
      </c>
      <c r="O503" s="201">
        <v>10848</v>
      </c>
      <c r="P503" s="201">
        <v>18098</v>
      </c>
      <c r="Q503" s="201">
        <v>20000</v>
      </c>
      <c r="R503" s="201">
        <v>20000</v>
      </c>
      <c r="S503" s="201">
        <v>23000</v>
      </c>
      <c r="T503" s="201"/>
      <c r="U503" s="403"/>
      <c r="V503" s="351"/>
    </row>
    <row r="504" spans="1:22" outlineLevel="2" x14ac:dyDescent="0.25">
      <c r="A504" s="193">
        <v>3322</v>
      </c>
      <c r="B504" s="193">
        <v>5154</v>
      </c>
      <c r="C504" s="193">
        <v>2950</v>
      </c>
      <c r="D504" s="193">
        <v>11003</v>
      </c>
      <c r="E504" s="193">
        <v>0</v>
      </c>
      <c r="F504" s="194">
        <v>0</v>
      </c>
      <c r="G504" s="193">
        <v>0</v>
      </c>
      <c r="H504" s="193">
        <v>0</v>
      </c>
      <c r="I504" s="193">
        <v>0</v>
      </c>
      <c r="J504" s="321" t="str">
        <f t="shared" si="46"/>
        <v>3322/5154/2950/11003/0/0/0/0/0</v>
      </c>
      <c r="K504" s="321" t="s">
        <v>5071</v>
      </c>
      <c r="L504" s="201">
        <v>118459.08</v>
      </c>
      <c r="M504" s="201">
        <v>191720</v>
      </c>
      <c r="N504" s="201">
        <v>203910</v>
      </c>
      <c r="O504" s="201">
        <v>158750.89000000001</v>
      </c>
      <c r="P504" s="201">
        <v>195412.73</v>
      </c>
      <c r="Q504" s="201">
        <v>293000</v>
      </c>
      <c r="R504" s="201">
        <v>293000</v>
      </c>
      <c r="S504" s="201">
        <v>290000</v>
      </c>
      <c r="T504" s="201"/>
      <c r="U504" s="403"/>
    </row>
    <row r="505" spans="1:22" outlineLevel="2" x14ac:dyDescent="0.25">
      <c r="A505" s="193">
        <v>3322</v>
      </c>
      <c r="B505" s="193">
        <v>5153</v>
      </c>
      <c r="C505" s="193">
        <v>2950</v>
      </c>
      <c r="D505" s="193">
        <v>11003</v>
      </c>
      <c r="E505" s="193">
        <v>0</v>
      </c>
      <c r="F505" s="194">
        <v>0</v>
      </c>
      <c r="G505" s="193">
        <v>0</v>
      </c>
      <c r="H505" s="193">
        <v>0</v>
      </c>
      <c r="I505" s="193">
        <v>0</v>
      </c>
      <c r="J505" s="321" t="str">
        <f t="shared" si="46"/>
        <v>3322/5153/2950/11003/0/0/0/0/0</v>
      </c>
      <c r="K505" s="321" t="s">
        <v>463</v>
      </c>
      <c r="L505" s="201">
        <v>76518.28</v>
      </c>
      <c r="M505" s="201">
        <v>112907.3</v>
      </c>
      <c r="N505" s="201">
        <v>117773.61</v>
      </c>
      <c r="O505" s="201">
        <v>87243.26</v>
      </c>
      <c r="P505" s="201">
        <v>85942.2</v>
      </c>
      <c r="Q505" s="201">
        <v>420000</v>
      </c>
      <c r="R505" s="201">
        <v>414670</v>
      </c>
      <c r="S505" s="201">
        <v>420000</v>
      </c>
      <c r="T505" s="201"/>
      <c r="U505" s="403"/>
    </row>
    <row r="506" spans="1:22" s="59" customFormat="1" outlineLevel="2" x14ac:dyDescent="0.25">
      <c r="A506" s="193">
        <v>3322</v>
      </c>
      <c r="B506" s="193">
        <v>5151</v>
      </c>
      <c r="C506" s="193">
        <v>2950</v>
      </c>
      <c r="D506" s="193">
        <v>11003</v>
      </c>
      <c r="E506" s="193">
        <v>0</v>
      </c>
      <c r="F506" s="194">
        <v>0</v>
      </c>
      <c r="G506" s="193">
        <v>0</v>
      </c>
      <c r="H506" s="193">
        <v>0</v>
      </c>
      <c r="I506" s="193">
        <v>0</v>
      </c>
      <c r="J506" s="321" t="str">
        <f t="shared" si="46"/>
        <v>3322/5151/2950/11003/0/0/0/0/0</v>
      </c>
      <c r="K506" s="321" t="s">
        <v>464</v>
      </c>
      <c r="L506" s="201">
        <v>7444</v>
      </c>
      <c r="M506" s="201">
        <v>7384</v>
      </c>
      <c r="N506" s="201">
        <v>4938</v>
      </c>
      <c r="O506" s="201">
        <v>6676</v>
      </c>
      <c r="P506" s="201">
        <v>10617</v>
      </c>
      <c r="Q506" s="201">
        <v>12000</v>
      </c>
      <c r="R506" s="201">
        <v>12000</v>
      </c>
      <c r="S506" s="201">
        <v>12000</v>
      </c>
      <c r="T506" s="201"/>
      <c r="U506" s="403"/>
      <c r="V506" s="351"/>
    </row>
    <row r="507" spans="1:22" s="173" customFormat="1" outlineLevel="2" x14ac:dyDescent="0.25">
      <c r="A507" s="193">
        <v>3322</v>
      </c>
      <c r="B507" s="193">
        <v>5154</v>
      </c>
      <c r="C507" s="193">
        <v>2950</v>
      </c>
      <c r="D507" s="193">
        <v>11638</v>
      </c>
      <c r="E507" s="193">
        <v>0</v>
      </c>
      <c r="F507" s="194">
        <v>0</v>
      </c>
      <c r="G507" s="193">
        <v>0</v>
      </c>
      <c r="H507" s="193">
        <v>0</v>
      </c>
      <c r="I507" s="193">
        <v>0</v>
      </c>
      <c r="J507" s="321" t="s">
        <v>4986</v>
      </c>
      <c r="K507" s="321" t="s">
        <v>4936</v>
      </c>
      <c r="L507" s="201"/>
      <c r="M507" s="201"/>
      <c r="N507" s="201"/>
      <c r="O507" s="201"/>
      <c r="P507" s="201"/>
      <c r="Q507" s="201"/>
      <c r="R507" s="201"/>
      <c r="S507" s="201">
        <v>82000</v>
      </c>
      <c r="T507" s="201"/>
      <c r="U507" s="403" t="s">
        <v>170</v>
      </c>
      <c r="V507" s="351"/>
    </row>
    <row r="508" spans="1:22" outlineLevel="2" x14ac:dyDescent="0.25">
      <c r="A508" s="193">
        <v>3322</v>
      </c>
      <c r="B508" s="193">
        <v>5151</v>
      </c>
      <c r="C508" s="193">
        <v>2950</v>
      </c>
      <c r="D508" s="193">
        <v>11638</v>
      </c>
      <c r="E508" s="193">
        <v>0</v>
      </c>
      <c r="F508" s="194">
        <v>0</v>
      </c>
      <c r="G508" s="193">
        <v>0</v>
      </c>
      <c r="H508" s="193">
        <v>0</v>
      </c>
      <c r="I508" s="193">
        <v>0</v>
      </c>
      <c r="J508" s="321" t="s">
        <v>4984</v>
      </c>
      <c r="K508" s="321" t="s">
        <v>4935</v>
      </c>
      <c r="L508" s="201"/>
      <c r="M508" s="201"/>
      <c r="N508" s="201"/>
      <c r="O508" s="201"/>
      <c r="P508" s="201"/>
      <c r="Q508" s="201"/>
      <c r="R508" s="201"/>
      <c r="S508" s="201">
        <v>10000</v>
      </c>
      <c r="T508" s="201"/>
      <c r="U508" s="403" t="s">
        <v>170</v>
      </c>
      <c r="V508" s="351"/>
    </row>
    <row r="509" spans="1:22" outlineLevel="2" x14ac:dyDescent="0.25">
      <c r="A509" s="193">
        <v>3322</v>
      </c>
      <c r="B509" s="193">
        <v>5153</v>
      </c>
      <c r="C509" s="193">
        <v>2950</v>
      </c>
      <c r="D509" s="193">
        <v>11638</v>
      </c>
      <c r="E509" s="193">
        <v>0</v>
      </c>
      <c r="F509" s="194">
        <v>0</v>
      </c>
      <c r="G509" s="193">
        <v>0</v>
      </c>
      <c r="H509" s="193">
        <v>0</v>
      </c>
      <c r="I509" s="193">
        <v>0</v>
      </c>
      <c r="J509" s="321" t="s">
        <v>4985</v>
      </c>
      <c r="K509" s="321" t="s">
        <v>4937</v>
      </c>
      <c r="L509" s="201"/>
      <c r="M509" s="201"/>
      <c r="N509" s="201"/>
      <c r="O509" s="201"/>
      <c r="P509" s="201"/>
      <c r="Q509" s="201"/>
      <c r="R509" s="201"/>
      <c r="S509" s="201">
        <v>170000</v>
      </c>
      <c r="T509" s="201"/>
      <c r="U509" s="403" t="s">
        <v>170</v>
      </c>
      <c r="V509" s="351"/>
    </row>
    <row r="510" spans="1:22" s="173" customFormat="1" outlineLevel="2" x14ac:dyDescent="0.25">
      <c r="A510" s="193">
        <v>3322</v>
      </c>
      <c r="B510" s="193">
        <v>5169</v>
      </c>
      <c r="C510" s="193">
        <v>2950</v>
      </c>
      <c r="D510" s="193">
        <v>11638</v>
      </c>
      <c r="E510" s="193">
        <v>0</v>
      </c>
      <c r="F510" s="194">
        <v>0</v>
      </c>
      <c r="G510" s="193">
        <v>0</v>
      </c>
      <c r="H510" s="193">
        <v>0</v>
      </c>
      <c r="I510" s="193">
        <v>0</v>
      </c>
      <c r="J510" s="321" t="s">
        <v>4988</v>
      </c>
      <c r="K510" s="321" t="s">
        <v>4938</v>
      </c>
      <c r="L510" s="201"/>
      <c r="M510" s="201"/>
      <c r="N510" s="201"/>
      <c r="O510" s="201"/>
      <c r="P510" s="201"/>
      <c r="Q510" s="201"/>
      <c r="R510" s="201"/>
      <c r="S510" s="201">
        <v>26000</v>
      </c>
      <c r="T510" s="201"/>
      <c r="U510" s="403" t="s">
        <v>170</v>
      </c>
      <c r="V510" s="343"/>
    </row>
    <row r="511" spans="1:22" s="173" customFormat="1" outlineLevel="2" x14ac:dyDescent="0.25">
      <c r="A511" s="193">
        <v>3613</v>
      </c>
      <c r="B511" s="193">
        <v>5154</v>
      </c>
      <c r="C511" s="193">
        <v>2950</v>
      </c>
      <c r="D511" s="193">
        <v>16805</v>
      </c>
      <c r="E511" s="193">
        <v>0</v>
      </c>
      <c r="F511" s="194">
        <v>0</v>
      </c>
      <c r="G511" s="193">
        <v>0</v>
      </c>
      <c r="H511" s="193">
        <v>0</v>
      </c>
      <c r="I511" s="193">
        <v>0</v>
      </c>
      <c r="J511" s="321" t="str">
        <f t="shared" ref="J511:J542" si="47">CONCATENATE(A511,"/",B511,"/",C511,"/",D511,"/",E511,"/",F511,"/",G511,"/",H511,"/",I511)</f>
        <v>3613/5154/2950/16805/0/0/0/0/0</v>
      </c>
      <c r="K511" s="321" t="s">
        <v>465</v>
      </c>
      <c r="L511" s="201">
        <v>76833.47</v>
      </c>
      <c r="M511" s="201">
        <v>116400</v>
      </c>
      <c r="N511" s="201">
        <v>91420</v>
      </c>
      <c r="O511" s="201">
        <v>97680</v>
      </c>
      <c r="P511" s="201">
        <v>89540</v>
      </c>
      <c r="Q511" s="201">
        <v>111000</v>
      </c>
      <c r="R511" s="201">
        <v>111000</v>
      </c>
      <c r="S511" s="201">
        <v>150000</v>
      </c>
      <c r="T511" s="201"/>
      <c r="U511" s="403"/>
      <c r="V511" s="351"/>
    </row>
    <row r="512" spans="1:22" outlineLevel="2" x14ac:dyDescent="0.25">
      <c r="A512" s="193">
        <v>3613</v>
      </c>
      <c r="B512" s="193">
        <v>5153</v>
      </c>
      <c r="C512" s="193">
        <v>2950</v>
      </c>
      <c r="D512" s="193">
        <v>16805</v>
      </c>
      <c r="E512" s="193">
        <v>0</v>
      </c>
      <c r="F512" s="194">
        <v>0</v>
      </c>
      <c r="G512" s="193">
        <v>0</v>
      </c>
      <c r="H512" s="193">
        <v>0</v>
      </c>
      <c r="I512" s="193">
        <v>0</v>
      </c>
      <c r="J512" s="321" t="str">
        <f t="shared" si="47"/>
        <v>3613/5153/2950/16805/0/0/0/0/0</v>
      </c>
      <c r="K512" s="321" t="s">
        <v>466</v>
      </c>
      <c r="L512" s="201">
        <v>244792.92</v>
      </c>
      <c r="M512" s="201">
        <v>231350.5</v>
      </c>
      <c r="N512" s="201">
        <v>203654.31</v>
      </c>
      <c r="O512" s="201">
        <v>165600</v>
      </c>
      <c r="P512" s="201">
        <v>107617.17</v>
      </c>
      <c r="Q512" s="201">
        <v>550000</v>
      </c>
      <c r="R512" s="201">
        <v>550000</v>
      </c>
      <c r="S512" s="201">
        <v>550000</v>
      </c>
      <c r="T512" s="201"/>
      <c r="U512" s="403"/>
      <c r="V512" s="351"/>
    </row>
    <row r="513" spans="1:22" s="59" customFormat="1" outlineLevel="2" x14ac:dyDescent="0.25">
      <c r="A513" s="193">
        <v>3613</v>
      </c>
      <c r="B513" s="193">
        <v>5151</v>
      </c>
      <c r="C513" s="193">
        <v>2950</v>
      </c>
      <c r="D513" s="193">
        <v>16805</v>
      </c>
      <c r="E513" s="193">
        <v>0</v>
      </c>
      <c r="F513" s="194">
        <v>0</v>
      </c>
      <c r="G513" s="193">
        <v>0</v>
      </c>
      <c r="H513" s="193">
        <v>0</v>
      </c>
      <c r="I513" s="193">
        <v>0</v>
      </c>
      <c r="J513" s="321" t="str">
        <f t="shared" si="47"/>
        <v>3613/5151/2950/16805/0/0/0/0/0</v>
      </c>
      <c r="K513" s="321" t="s">
        <v>467</v>
      </c>
      <c r="L513" s="201">
        <v>75824</v>
      </c>
      <c r="M513" s="201">
        <v>75495</v>
      </c>
      <c r="N513" s="201">
        <v>62758</v>
      </c>
      <c r="O513" s="201">
        <v>61250</v>
      </c>
      <c r="P513" s="201">
        <v>75783</v>
      </c>
      <c r="Q513" s="201">
        <v>80000</v>
      </c>
      <c r="R513" s="201">
        <v>80000</v>
      </c>
      <c r="S513" s="201">
        <v>102000</v>
      </c>
      <c r="T513" s="201"/>
      <c r="U513" s="403"/>
      <c r="V513" s="359"/>
    </row>
    <row r="514" spans="1:22" s="61" customFormat="1" outlineLevel="2" x14ac:dyDescent="0.25">
      <c r="A514" s="193">
        <v>3632</v>
      </c>
      <c r="B514" s="193">
        <v>5151</v>
      </c>
      <c r="C514" s="193">
        <v>2950</v>
      </c>
      <c r="D514" s="193">
        <v>0</v>
      </c>
      <c r="E514" s="193">
        <v>0</v>
      </c>
      <c r="F514" s="194">
        <v>0</v>
      </c>
      <c r="G514" s="193">
        <v>0</v>
      </c>
      <c r="H514" s="193">
        <v>0</v>
      </c>
      <c r="I514" s="193">
        <v>0</v>
      </c>
      <c r="J514" s="321" t="str">
        <f t="shared" si="47"/>
        <v>3632/5151/2950/0/0/0/0/0/0</v>
      </c>
      <c r="K514" s="321" t="s">
        <v>468</v>
      </c>
      <c r="L514" s="201">
        <v>34787</v>
      </c>
      <c r="M514" s="201">
        <v>28644</v>
      </c>
      <c r="N514" s="201">
        <v>30389</v>
      </c>
      <c r="O514" s="201">
        <v>20049</v>
      </c>
      <c r="P514" s="201">
        <v>23028</v>
      </c>
      <c r="Q514" s="201">
        <v>30000</v>
      </c>
      <c r="R514" s="201">
        <v>30000</v>
      </c>
      <c r="S514" s="201">
        <v>30000</v>
      </c>
      <c r="T514" s="201"/>
      <c r="U514" s="403"/>
      <c r="V514" s="343"/>
    </row>
    <row r="515" spans="1:22" outlineLevel="2" x14ac:dyDescent="0.25">
      <c r="A515" s="193">
        <v>3412</v>
      </c>
      <c r="B515" s="193">
        <v>5153</v>
      </c>
      <c r="C515" s="193">
        <v>2950</v>
      </c>
      <c r="D515" s="193">
        <v>16001</v>
      </c>
      <c r="E515" s="193">
        <v>0</v>
      </c>
      <c r="F515" s="194">
        <v>0</v>
      </c>
      <c r="G515" s="193">
        <v>0</v>
      </c>
      <c r="H515" s="193">
        <v>0</v>
      </c>
      <c r="I515" s="193">
        <v>0</v>
      </c>
      <c r="J515" s="321" t="str">
        <f t="shared" si="47"/>
        <v>3412/5153/2950/16001/0/0/0/0/0</v>
      </c>
      <c r="K515" s="321" t="s">
        <v>469</v>
      </c>
      <c r="L515" s="201">
        <v>10000</v>
      </c>
      <c r="M515" s="201">
        <v>10000</v>
      </c>
      <c r="N515" s="201">
        <v>10000</v>
      </c>
      <c r="O515" s="201">
        <v>10000</v>
      </c>
      <c r="P515" s="201">
        <v>10000</v>
      </c>
      <c r="Q515" s="201">
        <v>10000</v>
      </c>
      <c r="R515" s="201">
        <v>10000</v>
      </c>
      <c r="S515" s="201">
        <v>10000</v>
      </c>
      <c r="T515" s="201"/>
      <c r="U515" s="403"/>
      <c r="V515" s="359"/>
    </row>
    <row r="516" spans="1:22" s="173" customFormat="1" outlineLevel="2" x14ac:dyDescent="0.25">
      <c r="A516" s="193">
        <v>3412</v>
      </c>
      <c r="B516" s="193">
        <v>5169</v>
      </c>
      <c r="C516" s="193">
        <v>2950</v>
      </c>
      <c r="D516" s="193">
        <v>16001</v>
      </c>
      <c r="E516" s="193">
        <v>0</v>
      </c>
      <c r="F516" s="194">
        <v>0</v>
      </c>
      <c r="G516" s="193">
        <v>0</v>
      </c>
      <c r="H516" s="193">
        <v>0</v>
      </c>
      <c r="I516" s="193">
        <v>0</v>
      </c>
      <c r="J516" s="321" t="str">
        <f t="shared" si="47"/>
        <v>3412/5169/2950/16001/0/0/0/0/0</v>
      </c>
      <c r="K516" s="321" t="s">
        <v>4460</v>
      </c>
      <c r="L516" s="201"/>
      <c r="M516" s="201"/>
      <c r="N516" s="201"/>
      <c r="O516" s="201"/>
      <c r="P516" s="201">
        <v>5100</v>
      </c>
      <c r="Q516" s="201">
        <v>5100</v>
      </c>
      <c r="R516" s="201">
        <v>5100</v>
      </c>
      <c r="S516" s="201">
        <v>5000</v>
      </c>
      <c r="T516" s="201"/>
      <c r="U516" s="403"/>
      <c r="V516" s="359"/>
    </row>
    <row r="517" spans="1:22" s="59" customFormat="1" outlineLevel="2" x14ac:dyDescent="0.25">
      <c r="A517" s="193">
        <v>3412</v>
      </c>
      <c r="B517" s="193">
        <v>5151</v>
      </c>
      <c r="C517" s="193">
        <v>2950</v>
      </c>
      <c r="D517" s="193">
        <v>16001</v>
      </c>
      <c r="E517" s="193">
        <v>0</v>
      </c>
      <c r="F517" s="194">
        <v>0</v>
      </c>
      <c r="G517" s="193">
        <v>0</v>
      </c>
      <c r="H517" s="193">
        <v>0</v>
      </c>
      <c r="I517" s="193">
        <v>0</v>
      </c>
      <c r="J517" s="321" t="str">
        <f t="shared" si="47"/>
        <v>3412/5151/2950/16001/0/0/0/0/0</v>
      </c>
      <c r="K517" s="321" t="s">
        <v>470</v>
      </c>
      <c r="L517" s="201">
        <v>5000</v>
      </c>
      <c r="M517" s="201">
        <v>5000</v>
      </c>
      <c r="N517" s="201">
        <v>51725.3</v>
      </c>
      <c r="O517" s="201">
        <v>15600</v>
      </c>
      <c r="P517" s="201">
        <v>20600</v>
      </c>
      <c r="Q517" s="201">
        <v>20600</v>
      </c>
      <c r="R517" s="201">
        <v>20600</v>
      </c>
      <c r="S517" s="201">
        <v>20600</v>
      </c>
      <c r="T517" s="201"/>
      <c r="U517" s="403"/>
      <c r="V517" s="343"/>
    </row>
    <row r="518" spans="1:22" s="59" customFormat="1" outlineLevel="2" x14ac:dyDescent="0.25">
      <c r="A518" s="187">
        <v>3412</v>
      </c>
      <c r="B518" s="187">
        <v>5909</v>
      </c>
      <c r="C518" s="187">
        <v>2950</v>
      </c>
      <c r="D518" s="187">
        <v>16001</v>
      </c>
      <c r="E518" s="187">
        <v>0</v>
      </c>
      <c r="F518" s="187">
        <v>0</v>
      </c>
      <c r="G518" s="187">
        <v>0</v>
      </c>
      <c r="H518" s="187">
        <v>0</v>
      </c>
      <c r="I518" s="187">
        <v>0</v>
      </c>
      <c r="J518" s="327" t="str">
        <f t="shared" si="47"/>
        <v>3412/5909/2950/16001/0/0/0/0/0</v>
      </c>
      <c r="K518" s="327" t="s">
        <v>3750</v>
      </c>
      <c r="L518" s="200"/>
      <c r="M518" s="200"/>
      <c r="N518" s="200"/>
      <c r="O518" s="200">
        <v>6370</v>
      </c>
      <c r="P518" s="200"/>
      <c r="Q518" s="200">
        <v>5000</v>
      </c>
      <c r="R518" s="200">
        <v>6195</v>
      </c>
      <c r="S518" s="201">
        <v>5000</v>
      </c>
      <c r="T518" s="201"/>
      <c r="U518" s="403"/>
      <c r="V518" s="351"/>
    </row>
    <row r="519" spans="1:22" s="59" customFormat="1" outlineLevel="2" x14ac:dyDescent="0.25">
      <c r="A519" s="193">
        <v>2143</v>
      </c>
      <c r="B519" s="193">
        <v>5154</v>
      </c>
      <c r="C519" s="193">
        <v>2950</v>
      </c>
      <c r="D519" s="193">
        <v>18669</v>
      </c>
      <c r="E519" s="193">
        <v>0</v>
      </c>
      <c r="F519" s="194">
        <v>0</v>
      </c>
      <c r="G519" s="193">
        <v>0</v>
      </c>
      <c r="H519" s="193">
        <v>0</v>
      </c>
      <c r="I519" s="193">
        <v>0</v>
      </c>
      <c r="J519" s="321" t="str">
        <f t="shared" si="47"/>
        <v>2143/5154/2950/18669/0/0/0/0/0</v>
      </c>
      <c r="K519" s="321" t="s">
        <v>5072</v>
      </c>
      <c r="L519" s="201">
        <v>14642.2</v>
      </c>
      <c r="M519" s="201">
        <v>34671.85</v>
      </c>
      <c r="N519" s="201">
        <v>7880.59</v>
      </c>
      <c r="O519" s="201">
        <v>63412</v>
      </c>
      <c r="P519" s="201">
        <v>31570</v>
      </c>
      <c r="Q519" s="201">
        <v>54000</v>
      </c>
      <c r="R519" s="201">
        <v>54000</v>
      </c>
      <c r="S519" s="201">
        <v>54000</v>
      </c>
      <c r="T519" s="201"/>
      <c r="U519" s="403"/>
      <c r="V519" s="343"/>
    </row>
    <row r="520" spans="1:22" s="59" customFormat="1" outlineLevel="2" x14ac:dyDescent="0.25">
      <c r="A520" s="193">
        <v>2143</v>
      </c>
      <c r="B520" s="193">
        <v>5164</v>
      </c>
      <c r="C520" s="193">
        <v>2950</v>
      </c>
      <c r="D520" s="193">
        <v>18669</v>
      </c>
      <c r="E520" s="193">
        <v>0</v>
      </c>
      <c r="F520" s="194">
        <v>0</v>
      </c>
      <c r="G520" s="193">
        <v>0</v>
      </c>
      <c r="H520" s="193">
        <v>0</v>
      </c>
      <c r="I520" s="193">
        <v>0</v>
      </c>
      <c r="J520" s="321" t="str">
        <f t="shared" si="47"/>
        <v>2143/5164/2950/18669/0/0/0/0/0</v>
      </c>
      <c r="K520" s="321" t="s">
        <v>473</v>
      </c>
      <c r="L520" s="201">
        <v>22921.360000000001</v>
      </c>
      <c r="M520" s="201">
        <v>23402.720000000001</v>
      </c>
      <c r="N520" s="201">
        <v>24058</v>
      </c>
      <c r="O520" s="201">
        <v>24058</v>
      </c>
      <c r="P520" s="201">
        <v>24972.240000000002</v>
      </c>
      <c r="Q520" s="201">
        <v>26500</v>
      </c>
      <c r="R520" s="201">
        <v>28745</v>
      </c>
      <c r="S520" s="201">
        <v>31650</v>
      </c>
      <c r="T520" s="201"/>
      <c r="U520" s="403"/>
      <c r="V520" s="365"/>
    </row>
    <row r="521" spans="1:22" s="59" customFormat="1" outlineLevel="2" x14ac:dyDescent="0.25">
      <c r="A521" s="193">
        <v>2143</v>
      </c>
      <c r="B521" s="193">
        <v>5152</v>
      </c>
      <c r="C521" s="193">
        <v>2950</v>
      </c>
      <c r="D521" s="193">
        <v>18669</v>
      </c>
      <c r="E521" s="193">
        <v>0</v>
      </c>
      <c r="F521" s="194">
        <v>0</v>
      </c>
      <c r="G521" s="193">
        <v>0</v>
      </c>
      <c r="H521" s="193">
        <v>0</v>
      </c>
      <c r="I521" s="193">
        <v>0</v>
      </c>
      <c r="J521" s="321" t="str">
        <f t="shared" si="47"/>
        <v>2143/5152/2950/18669/0/0/0/0/0</v>
      </c>
      <c r="K521" s="321" t="s">
        <v>471</v>
      </c>
      <c r="L521" s="201">
        <v>53198.879999999997</v>
      </c>
      <c r="M521" s="201">
        <v>58712</v>
      </c>
      <c r="N521" s="201">
        <v>50564</v>
      </c>
      <c r="O521" s="201">
        <v>50468</v>
      </c>
      <c r="P521" s="201">
        <v>63834.62</v>
      </c>
      <c r="Q521" s="201">
        <v>75000</v>
      </c>
      <c r="R521" s="201">
        <v>72755</v>
      </c>
      <c r="S521" s="201">
        <v>75000</v>
      </c>
      <c r="T521" s="201"/>
      <c r="U521" s="403"/>
      <c r="V521" s="354"/>
    </row>
    <row r="522" spans="1:22" s="59" customFormat="1" outlineLevel="2" x14ac:dyDescent="0.25">
      <c r="A522" s="193">
        <v>2143</v>
      </c>
      <c r="B522" s="193">
        <v>5151</v>
      </c>
      <c r="C522" s="193">
        <v>2950</v>
      </c>
      <c r="D522" s="193">
        <v>18669</v>
      </c>
      <c r="E522" s="193">
        <v>0</v>
      </c>
      <c r="F522" s="194">
        <v>0</v>
      </c>
      <c r="G522" s="193">
        <v>0</v>
      </c>
      <c r="H522" s="193">
        <v>0</v>
      </c>
      <c r="I522" s="193">
        <v>0</v>
      </c>
      <c r="J522" s="321" t="str">
        <f t="shared" si="47"/>
        <v>2143/5151/2950/18669/0/0/0/0/0</v>
      </c>
      <c r="K522" s="321" t="s">
        <v>472</v>
      </c>
      <c r="L522" s="201">
        <v>1399.09</v>
      </c>
      <c r="M522" s="201">
        <v>748.73</v>
      </c>
      <c r="N522" s="201">
        <v>748.73</v>
      </c>
      <c r="O522" s="201">
        <v>2266.88</v>
      </c>
      <c r="P522" s="201">
        <v>776.31</v>
      </c>
      <c r="Q522" s="201">
        <v>5000</v>
      </c>
      <c r="R522" s="201">
        <v>5000</v>
      </c>
      <c r="S522" s="201">
        <v>5000</v>
      </c>
      <c r="T522" s="201"/>
      <c r="U522" s="403"/>
      <c r="V522" s="343"/>
    </row>
    <row r="523" spans="1:22" s="173" customFormat="1" outlineLevel="2" x14ac:dyDescent="0.25">
      <c r="A523" s="193">
        <v>2143</v>
      </c>
      <c r="B523" s="193">
        <v>5154</v>
      </c>
      <c r="C523" s="193">
        <v>2950</v>
      </c>
      <c r="D523" s="193">
        <v>18667</v>
      </c>
      <c r="E523" s="193">
        <v>0</v>
      </c>
      <c r="F523" s="194">
        <v>0</v>
      </c>
      <c r="G523" s="193">
        <v>0</v>
      </c>
      <c r="H523" s="193">
        <v>0</v>
      </c>
      <c r="I523" s="193">
        <v>0</v>
      </c>
      <c r="J523" s="321" t="str">
        <f t="shared" si="47"/>
        <v>2143/5154/2950/18667/0/0/0/0/0</v>
      </c>
      <c r="K523" s="321" t="s">
        <v>5098</v>
      </c>
      <c r="L523" s="201">
        <v>20701.63</v>
      </c>
      <c r="M523" s="201">
        <v>38666.85</v>
      </c>
      <c r="N523" s="201">
        <v>40950.480000000003</v>
      </c>
      <c r="O523" s="201">
        <v>34500</v>
      </c>
      <c r="P523" s="201">
        <v>161485.01999999999</v>
      </c>
      <c r="Q523" s="201">
        <v>273000</v>
      </c>
      <c r="R523" s="201">
        <v>273000</v>
      </c>
      <c r="S523" s="201">
        <v>100000</v>
      </c>
      <c r="T523" s="201"/>
      <c r="U523" s="403" t="s">
        <v>170</v>
      </c>
      <c r="V523" s="359"/>
    </row>
    <row r="524" spans="1:22" s="59" customFormat="1" outlineLevel="2" x14ac:dyDescent="0.25">
      <c r="A524" s="193">
        <v>2143</v>
      </c>
      <c r="B524" s="193">
        <v>5153</v>
      </c>
      <c r="C524" s="193">
        <v>2950</v>
      </c>
      <c r="D524" s="193">
        <v>18667</v>
      </c>
      <c r="E524" s="193">
        <v>0</v>
      </c>
      <c r="F524" s="194">
        <v>0</v>
      </c>
      <c r="G524" s="193">
        <v>0</v>
      </c>
      <c r="H524" s="193">
        <v>0</v>
      </c>
      <c r="I524" s="193">
        <v>0</v>
      </c>
      <c r="J524" s="321" t="str">
        <f t="shared" si="47"/>
        <v>2143/5153/2950/18667/0/0/0/0/0</v>
      </c>
      <c r="K524" s="321" t="s">
        <v>5099</v>
      </c>
      <c r="L524" s="201">
        <v>69936.47</v>
      </c>
      <c r="M524" s="201">
        <v>70609.39</v>
      </c>
      <c r="N524" s="201">
        <v>86997.58</v>
      </c>
      <c r="O524" s="201"/>
      <c r="P524" s="201"/>
      <c r="Q524" s="201"/>
      <c r="R524" s="201"/>
      <c r="S524" s="201">
        <v>70000</v>
      </c>
      <c r="T524" s="201"/>
      <c r="U524" s="403" t="s">
        <v>170</v>
      </c>
      <c r="V524" s="351"/>
    </row>
    <row r="525" spans="1:22" s="173" customFormat="1" outlineLevel="2" x14ac:dyDescent="0.25">
      <c r="A525" s="193">
        <v>2143</v>
      </c>
      <c r="B525" s="193">
        <v>5151</v>
      </c>
      <c r="C525" s="193">
        <v>2950</v>
      </c>
      <c r="D525" s="193">
        <v>18667</v>
      </c>
      <c r="E525" s="193">
        <v>0</v>
      </c>
      <c r="F525" s="194">
        <v>0</v>
      </c>
      <c r="G525" s="193">
        <v>0</v>
      </c>
      <c r="H525" s="193">
        <v>0</v>
      </c>
      <c r="I525" s="193">
        <v>0</v>
      </c>
      <c r="J525" s="321" t="str">
        <f t="shared" si="47"/>
        <v>2143/5151/2950/18667/0/0/0/0/0</v>
      </c>
      <c r="K525" s="321" t="s">
        <v>5100</v>
      </c>
      <c r="L525" s="201">
        <v>9721.3700000000008</v>
      </c>
      <c r="M525" s="201">
        <v>9688.01</v>
      </c>
      <c r="N525" s="201">
        <v>9843.49</v>
      </c>
      <c r="O525" s="201">
        <v>1573.53</v>
      </c>
      <c r="P525" s="201"/>
      <c r="Q525" s="201">
        <v>10000</v>
      </c>
      <c r="R525" s="201">
        <v>10000</v>
      </c>
      <c r="S525" s="201">
        <v>10000</v>
      </c>
      <c r="T525" s="201"/>
      <c r="U525" s="403" t="s">
        <v>170</v>
      </c>
      <c r="V525" s="351"/>
    </row>
    <row r="526" spans="1:22" s="59" customFormat="1" outlineLevel="2" x14ac:dyDescent="0.25">
      <c r="A526" s="193">
        <v>3313</v>
      </c>
      <c r="B526" s="193">
        <v>5164</v>
      </c>
      <c r="C526" s="193">
        <v>2950</v>
      </c>
      <c r="D526" s="193">
        <v>0</v>
      </c>
      <c r="E526" s="193">
        <v>0</v>
      </c>
      <c r="F526" s="194">
        <v>0</v>
      </c>
      <c r="G526" s="193">
        <v>0</v>
      </c>
      <c r="H526" s="193">
        <v>0</v>
      </c>
      <c r="I526" s="193">
        <v>0</v>
      </c>
      <c r="J526" s="321" t="str">
        <f t="shared" si="47"/>
        <v>3313/5164/2950/0/0/0/0/0/0</v>
      </c>
      <c r="K526" s="321" t="s">
        <v>474</v>
      </c>
      <c r="L526" s="201">
        <v>219668</v>
      </c>
      <c r="M526" s="201">
        <v>224280.5</v>
      </c>
      <c r="N526" s="201">
        <v>230561</v>
      </c>
      <c r="O526" s="201">
        <v>319634</v>
      </c>
      <c r="P526" s="201">
        <v>402681</v>
      </c>
      <c r="Q526" s="201">
        <v>430000</v>
      </c>
      <c r="R526" s="201">
        <v>463485.5</v>
      </c>
      <c r="S526" s="201">
        <v>510000</v>
      </c>
      <c r="T526" s="201"/>
      <c r="U526" s="403"/>
      <c r="V526" s="351"/>
    </row>
    <row r="527" spans="1:22" s="59" customFormat="1" outlineLevel="2" x14ac:dyDescent="0.25">
      <c r="A527" s="193">
        <v>3412</v>
      </c>
      <c r="B527" s="193">
        <v>5154</v>
      </c>
      <c r="C527" s="193">
        <v>2950</v>
      </c>
      <c r="D527" s="193">
        <v>16421</v>
      </c>
      <c r="E527" s="193">
        <v>0</v>
      </c>
      <c r="F527" s="194">
        <v>0</v>
      </c>
      <c r="G527" s="193">
        <v>0</v>
      </c>
      <c r="H527" s="193">
        <v>0</v>
      </c>
      <c r="I527" s="193">
        <v>0</v>
      </c>
      <c r="J527" s="321" t="str">
        <f t="shared" si="47"/>
        <v>3412/5154/2950/16421/0/0/0/0/0</v>
      </c>
      <c r="K527" s="321" t="s">
        <v>475</v>
      </c>
      <c r="L527" s="201">
        <v>173191</v>
      </c>
      <c r="M527" s="201">
        <v>604988.37</v>
      </c>
      <c r="N527" s="201">
        <v>608816.65</v>
      </c>
      <c r="O527" s="201">
        <v>579613.11</v>
      </c>
      <c r="P527" s="201">
        <v>928327.67</v>
      </c>
      <c r="Q527" s="201">
        <v>1426000</v>
      </c>
      <c r="R527" s="201">
        <v>1426000</v>
      </c>
      <c r="S527" s="201">
        <v>1430000</v>
      </c>
      <c r="T527" s="201"/>
      <c r="U527" s="403"/>
      <c r="V527" s="351"/>
    </row>
    <row r="528" spans="1:22" s="59" customFormat="1" outlineLevel="2" x14ac:dyDescent="0.25">
      <c r="A528" s="193">
        <v>3412</v>
      </c>
      <c r="B528" s="193">
        <v>5153</v>
      </c>
      <c r="C528" s="193">
        <v>2950</v>
      </c>
      <c r="D528" s="193">
        <v>16421</v>
      </c>
      <c r="E528" s="193">
        <v>0</v>
      </c>
      <c r="F528" s="194">
        <v>0</v>
      </c>
      <c r="G528" s="193">
        <v>0</v>
      </c>
      <c r="H528" s="193">
        <v>0</v>
      </c>
      <c r="I528" s="193">
        <v>0</v>
      </c>
      <c r="J528" s="321" t="str">
        <f t="shared" si="47"/>
        <v>3412/5153/2950/16421/0/0/0/0/0</v>
      </c>
      <c r="K528" s="321" t="s">
        <v>476</v>
      </c>
      <c r="L528" s="201">
        <f>117040+199+46.63</f>
        <v>117285.63</v>
      </c>
      <c r="M528" s="201">
        <v>257716.08</v>
      </c>
      <c r="N528" s="201">
        <v>128160.11</v>
      </c>
      <c r="O528" s="201">
        <v>174463.27</v>
      </c>
      <c r="P528" s="201">
        <v>180281.39</v>
      </c>
      <c r="Q528" s="201">
        <v>700000</v>
      </c>
      <c r="R528" s="201">
        <v>700000</v>
      </c>
      <c r="S528" s="201">
        <v>1000000</v>
      </c>
      <c r="T528" s="201"/>
      <c r="U528" s="403"/>
      <c r="V528" s="351"/>
    </row>
    <row r="529" spans="1:22" s="59" customFormat="1" outlineLevel="2" x14ac:dyDescent="0.25">
      <c r="A529" s="193">
        <v>3412</v>
      </c>
      <c r="B529" s="193">
        <v>5151</v>
      </c>
      <c r="C529" s="193">
        <v>2950</v>
      </c>
      <c r="D529" s="193">
        <v>16421</v>
      </c>
      <c r="E529" s="193">
        <v>0</v>
      </c>
      <c r="F529" s="194">
        <v>0</v>
      </c>
      <c r="G529" s="193">
        <v>0</v>
      </c>
      <c r="H529" s="193">
        <v>0</v>
      </c>
      <c r="I529" s="193">
        <v>0</v>
      </c>
      <c r="J529" s="321" t="str">
        <f t="shared" si="47"/>
        <v>3412/5151/2950/16421/0/0/0/0/0</v>
      </c>
      <c r="K529" s="321" t="s">
        <v>477</v>
      </c>
      <c r="L529" s="201">
        <v>28124</v>
      </c>
      <c r="M529" s="201">
        <v>58546</v>
      </c>
      <c r="N529" s="201">
        <v>36156</v>
      </c>
      <c r="O529" s="201">
        <v>47232</v>
      </c>
      <c r="P529" s="201">
        <v>95054</v>
      </c>
      <c r="Q529" s="201">
        <v>80000</v>
      </c>
      <c r="R529" s="201">
        <v>80000</v>
      </c>
      <c r="S529" s="201">
        <v>150000</v>
      </c>
      <c r="T529" s="201"/>
      <c r="U529" s="403"/>
      <c r="V529" s="351"/>
    </row>
    <row r="530" spans="1:22" s="173" customFormat="1" outlineLevel="2" x14ac:dyDescent="0.25">
      <c r="A530" s="193">
        <v>3322</v>
      </c>
      <c r="B530" s="193">
        <v>5154</v>
      </c>
      <c r="C530" s="193">
        <v>2950</v>
      </c>
      <c r="D530" s="193">
        <v>11634</v>
      </c>
      <c r="E530" s="193">
        <v>0</v>
      </c>
      <c r="F530" s="194">
        <v>0</v>
      </c>
      <c r="G530" s="193">
        <v>0</v>
      </c>
      <c r="H530" s="193">
        <v>0</v>
      </c>
      <c r="I530" s="193">
        <v>0</v>
      </c>
      <c r="J530" s="321" t="str">
        <f t="shared" si="47"/>
        <v>3322/5154/2950/11634/0/0/0/0/0</v>
      </c>
      <c r="K530" s="321" t="s">
        <v>5073</v>
      </c>
      <c r="L530" s="201">
        <v>248252</v>
      </c>
      <c r="M530" s="201">
        <v>82591</v>
      </c>
      <c r="N530" s="201">
        <v>111790</v>
      </c>
      <c r="O530" s="201">
        <v>71820</v>
      </c>
      <c r="P530" s="201">
        <v>172377.02</v>
      </c>
      <c r="Q530" s="201">
        <v>105000</v>
      </c>
      <c r="R530" s="201">
        <v>105000</v>
      </c>
      <c r="S530" s="201">
        <v>250000</v>
      </c>
      <c r="T530" s="201"/>
      <c r="U530" s="403"/>
      <c r="V530" s="359"/>
    </row>
    <row r="531" spans="1:22" s="59" customFormat="1" outlineLevel="2" x14ac:dyDescent="0.25">
      <c r="A531" s="193">
        <v>3322</v>
      </c>
      <c r="B531" s="193">
        <v>5164</v>
      </c>
      <c r="C531" s="193">
        <v>2950</v>
      </c>
      <c r="D531" s="193">
        <v>11634</v>
      </c>
      <c r="E531" s="193">
        <v>0</v>
      </c>
      <c r="F531" s="194">
        <v>0</v>
      </c>
      <c r="G531" s="193">
        <v>0</v>
      </c>
      <c r="H531" s="193">
        <v>0</v>
      </c>
      <c r="I531" s="193">
        <v>0</v>
      </c>
      <c r="J531" s="321" t="str">
        <f t="shared" si="47"/>
        <v>3322/5164/2950/11634/0/0/0/0/0</v>
      </c>
      <c r="K531" s="321" t="s">
        <v>4376</v>
      </c>
      <c r="L531" s="201"/>
      <c r="M531" s="201"/>
      <c r="N531" s="201"/>
      <c r="O531" s="201"/>
      <c r="P531" s="201">
        <v>106320.12</v>
      </c>
      <c r="Q531" s="201">
        <v>111300</v>
      </c>
      <c r="R531" s="201">
        <v>116600</v>
      </c>
      <c r="S531" s="201">
        <v>128300</v>
      </c>
      <c r="T531" s="201"/>
      <c r="U531" s="403"/>
      <c r="V531" s="351"/>
    </row>
    <row r="532" spans="1:22" s="59" customFormat="1" outlineLevel="2" x14ac:dyDescent="0.25">
      <c r="A532" s="193">
        <v>3613</v>
      </c>
      <c r="B532" s="193">
        <v>5154</v>
      </c>
      <c r="C532" s="193">
        <v>2950</v>
      </c>
      <c r="D532" s="193">
        <v>69400</v>
      </c>
      <c r="E532" s="193">
        <v>0</v>
      </c>
      <c r="F532" s="194">
        <v>0</v>
      </c>
      <c r="G532" s="193">
        <v>0</v>
      </c>
      <c r="H532" s="193">
        <v>0</v>
      </c>
      <c r="I532" s="193">
        <v>0</v>
      </c>
      <c r="J532" s="321" t="str">
        <f t="shared" si="47"/>
        <v>3613/5154/2950/69400/0/0/0/0/0</v>
      </c>
      <c r="K532" s="321" t="s">
        <v>5074</v>
      </c>
      <c r="L532" s="201">
        <v>430118.91</v>
      </c>
      <c r="M532" s="201">
        <v>813691.86</v>
      </c>
      <c r="N532" s="201">
        <v>985663.21</v>
      </c>
      <c r="O532" s="201">
        <v>1133876.3500000001</v>
      </c>
      <c r="P532" s="201">
        <v>1010353.72</v>
      </c>
      <c r="Q532" s="201">
        <v>1500000</v>
      </c>
      <c r="R532" s="201">
        <v>1330000</v>
      </c>
      <c r="S532" s="201">
        <v>1500000</v>
      </c>
      <c r="T532" s="201"/>
      <c r="U532" s="403"/>
      <c r="V532" s="351"/>
    </row>
    <row r="533" spans="1:22" s="173" customFormat="1" outlineLevel="2" x14ac:dyDescent="0.25">
      <c r="A533" s="193">
        <v>3613</v>
      </c>
      <c r="B533" s="193">
        <v>5153</v>
      </c>
      <c r="C533" s="193">
        <v>2950</v>
      </c>
      <c r="D533" s="193">
        <v>69400</v>
      </c>
      <c r="E533" s="193">
        <v>0</v>
      </c>
      <c r="F533" s="194">
        <v>0</v>
      </c>
      <c r="G533" s="193">
        <v>0</v>
      </c>
      <c r="H533" s="193">
        <v>0</v>
      </c>
      <c r="I533" s="193">
        <v>0</v>
      </c>
      <c r="J533" s="321" t="str">
        <f t="shared" si="47"/>
        <v>3613/5153/2950/69400/0/0/0/0/0</v>
      </c>
      <c r="K533" s="321" t="s">
        <v>478</v>
      </c>
      <c r="L533" s="201">
        <v>820325.83</v>
      </c>
      <c r="M533" s="201">
        <v>763648.31</v>
      </c>
      <c r="N533" s="201">
        <v>680615.78</v>
      </c>
      <c r="O533" s="201">
        <v>641808.94999999995</v>
      </c>
      <c r="P533" s="201">
        <v>867237.85</v>
      </c>
      <c r="Q533" s="201">
        <v>2362000</v>
      </c>
      <c r="R533" s="201">
        <v>2362000</v>
      </c>
      <c r="S533" s="201">
        <v>4100000</v>
      </c>
      <c r="T533" s="201"/>
      <c r="U533" s="403"/>
      <c r="V533" s="359"/>
    </row>
    <row r="534" spans="1:22" s="59" customFormat="1" outlineLevel="2" x14ac:dyDescent="0.25">
      <c r="A534" s="193">
        <v>3613</v>
      </c>
      <c r="B534" s="193">
        <v>5152</v>
      </c>
      <c r="C534" s="193">
        <v>2950</v>
      </c>
      <c r="D534" s="193">
        <v>69400</v>
      </c>
      <c r="E534" s="193">
        <v>0</v>
      </c>
      <c r="F534" s="194">
        <v>0</v>
      </c>
      <c r="G534" s="193">
        <v>0</v>
      </c>
      <c r="H534" s="193">
        <v>0</v>
      </c>
      <c r="I534" s="193">
        <v>0</v>
      </c>
      <c r="J534" s="321" t="str">
        <f t="shared" si="47"/>
        <v>3613/5152/2950/69400/0/0/0/0/0</v>
      </c>
      <c r="K534" s="321" t="s">
        <v>479</v>
      </c>
      <c r="L534" s="201">
        <v>307836</v>
      </c>
      <c r="M534" s="201">
        <v>321116</v>
      </c>
      <c r="N534" s="201">
        <v>340439</v>
      </c>
      <c r="O534" s="201">
        <v>415931</v>
      </c>
      <c r="P534" s="201">
        <v>351015.92</v>
      </c>
      <c r="Q534" s="201">
        <v>600000</v>
      </c>
      <c r="R534" s="201">
        <v>600000</v>
      </c>
      <c r="S534" s="201">
        <v>600000</v>
      </c>
      <c r="T534" s="201"/>
      <c r="U534" s="403"/>
      <c r="V534" s="351"/>
    </row>
    <row r="535" spans="1:22" s="59" customFormat="1" outlineLevel="2" x14ac:dyDescent="0.25">
      <c r="A535" s="193">
        <v>3613</v>
      </c>
      <c r="B535" s="193">
        <v>5151</v>
      </c>
      <c r="C535" s="193">
        <v>2950</v>
      </c>
      <c r="D535" s="193">
        <v>69400</v>
      </c>
      <c r="E535" s="193">
        <v>0</v>
      </c>
      <c r="F535" s="194">
        <v>0</v>
      </c>
      <c r="G535" s="193">
        <v>0</v>
      </c>
      <c r="H535" s="193">
        <v>0</v>
      </c>
      <c r="I535" s="193">
        <v>0</v>
      </c>
      <c r="J535" s="321" t="str">
        <f t="shared" si="47"/>
        <v>3613/5151/2950/69400/0/0/0/0/0</v>
      </c>
      <c r="K535" s="321" t="s">
        <v>480</v>
      </c>
      <c r="L535" s="201">
        <v>1986050.15</v>
      </c>
      <c r="M535" s="201">
        <v>2026062.56</v>
      </c>
      <c r="N535" s="201">
        <v>1954379.13</v>
      </c>
      <c r="O535" s="201">
        <v>1997015.63</v>
      </c>
      <c r="P535" s="201">
        <v>2512779.06</v>
      </c>
      <c r="Q535" s="201">
        <v>2150000</v>
      </c>
      <c r="R535" s="201">
        <v>2150000</v>
      </c>
      <c r="S535" s="201">
        <v>2230000</v>
      </c>
      <c r="T535" s="201"/>
      <c r="U535" s="403"/>
      <c r="V535" s="351"/>
    </row>
    <row r="536" spans="1:22" s="173" customFormat="1" outlineLevel="2" x14ac:dyDescent="0.25">
      <c r="A536" s="193">
        <v>3613</v>
      </c>
      <c r="B536" s="193">
        <v>5909</v>
      </c>
      <c r="C536" s="193">
        <v>2950</v>
      </c>
      <c r="D536" s="193">
        <v>69400</v>
      </c>
      <c r="E536" s="193">
        <v>0</v>
      </c>
      <c r="F536" s="194">
        <v>0</v>
      </c>
      <c r="G536" s="193">
        <v>0</v>
      </c>
      <c r="H536" s="193">
        <v>0</v>
      </c>
      <c r="I536" s="193">
        <v>0</v>
      </c>
      <c r="J536" s="321" t="str">
        <f t="shared" si="47"/>
        <v>3613/5909/2950/69400/0/0/0/0/0</v>
      </c>
      <c r="K536" s="321" t="s">
        <v>481</v>
      </c>
      <c r="L536" s="201">
        <v>290448.8</v>
      </c>
      <c r="M536" s="201">
        <v>343859.5</v>
      </c>
      <c r="N536" s="201">
        <v>305033.25</v>
      </c>
      <c r="O536" s="201">
        <v>431186</v>
      </c>
      <c r="P536" s="201">
        <v>430878.82</v>
      </c>
      <c r="Q536" s="201">
        <v>350000</v>
      </c>
      <c r="R536" s="201"/>
      <c r="S536" s="201">
        <v>320000</v>
      </c>
      <c r="T536" s="201"/>
      <c r="U536" s="403"/>
      <c r="V536" s="351"/>
    </row>
    <row r="537" spans="1:22" s="173" customFormat="1" outlineLevel="2" x14ac:dyDescent="0.25">
      <c r="A537" s="193">
        <v>3613</v>
      </c>
      <c r="B537" s="193">
        <v>5168</v>
      </c>
      <c r="C537" s="193">
        <v>2950</v>
      </c>
      <c r="D537" s="193">
        <v>69400</v>
      </c>
      <c r="E537" s="193">
        <v>0</v>
      </c>
      <c r="F537" s="194">
        <v>0</v>
      </c>
      <c r="G537" s="193">
        <v>0</v>
      </c>
      <c r="H537" s="193">
        <v>0</v>
      </c>
      <c r="I537" s="193">
        <v>0</v>
      </c>
      <c r="J537" s="321" t="str">
        <f t="shared" si="47"/>
        <v>3613/5168/2950/69400/0/0/0/0/0</v>
      </c>
      <c r="K537" s="321" t="s">
        <v>5075</v>
      </c>
      <c r="L537" s="201">
        <v>15373</v>
      </c>
      <c r="M537" s="201">
        <v>14907</v>
      </c>
      <c r="N537" s="201">
        <v>15409</v>
      </c>
      <c r="O537" s="201">
        <v>16993</v>
      </c>
      <c r="P537" s="201">
        <v>16725</v>
      </c>
      <c r="Q537" s="201">
        <v>30000</v>
      </c>
      <c r="R537" s="201">
        <v>30000</v>
      </c>
      <c r="S537" s="201">
        <v>30000</v>
      </c>
      <c r="T537" s="201"/>
      <c r="U537" s="403"/>
      <c r="V537" s="351"/>
    </row>
    <row r="538" spans="1:22" s="173" customFormat="1" outlineLevel="2" x14ac:dyDescent="0.25">
      <c r="A538" s="193">
        <v>3613</v>
      </c>
      <c r="B538" s="193">
        <v>5179</v>
      </c>
      <c r="C538" s="193">
        <v>2950</v>
      </c>
      <c r="D538" s="193">
        <v>69300</v>
      </c>
      <c r="E538" s="193">
        <v>0</v>
      </c>
      <c r="F538" s="194">
        <v>0</v>
      </c>
      <c r="G538" s="193">
        <v>0</v>
      </c>
      <c r="H538" s="193">
        <v>0</v>
      </c>
      <c r="I538" s="193">
        <v>0</v>
      </c>
      <c r="J538" s="321" t="str">
        <f t="shared" si="47"/>
        <v>3613/5179/2950/69300/0/0/0/0/0</v>
      </c>
      <c r="K538" s="321" t="s">
        <v>4386</v>
      </c>
      <c r="L538" s="201"/>
      <c r="M538" s="201"/>
      <c r="N538" s="201"/>
      <c r="O538" s="201"/>
      <c r="P538" s="201">
        <v>24918</v>
      </c>
      <c r="Q538" s="201">
        <v>100000</v>
      </c>
      <c r="R538" s="201">
        <v>100000</v>
      </c>
      <c r="S538" s="201">
        <v>145000</v>
      </c>
      <c r="T538" s="201"/>
      <c r="U538" s="403"/>
      <c r="V538" s="351"/>
    </row>
    <row r="539" spans="1:22" s="173" customFormat="1" outlineLevel="2" x14ac:dyDescent="0.25">
      <c r="A539" s="193">
        <v>3613</v>
      </c>
      <c r="B539" s="193">
        <v>5169</v>
      </c>
      <c r="C539" s="193">
        <v>2950</v>
      </c>
      <c r="D539" s="193">
        <v>69300</v>
      </c>
      <c r="E539" s="193">
        <v>0</v>
      </c>
      <c r="F539" s="194">
        <v>0</v>
      </c>
      <c r="G539" s="193">
        <v>0</v>
      </c>
      <c r="H539" s="193">
        <v>0</v>
      </c>
      <c r="I539" s="193">
        <v>0</v>
      </c>
      <c r="J539" s="321" t="str">
        <f t="shared" si="47"/>
        <v>3613/5169/2950/69300/0/0/0/0/0</v>
      </c>
      <c r="K539" s="321" t="s">
        <v>4379</v>
      </c>
      <c r="L539" s="201"/>
      <c r="M539" s="201"/>
      <c r="N539" s="201"/>
      <c r="O539" s="201"/>
      <c r="P539" s="201">
        <v>4179</v>
      </c>
      <c r="Q539" s="201">
        <v>20000</v>
      </c>
      <c r="R539" s="201">
        <v>20000</v>
      </c>
      <c r="S539" s="201">
        <v>40000</v>
      </c>
      <c r="T539" s="201"/>
      <c r="U539" s="403"/>
      <c r="V539" s="359"/>
    </row>
    <row r="540" spans="1:22" s="173" customFormat="1" outlineLevel="2" x14ac:dyDescent="0.25">
      <c r="A540" s="193">
        <v>3613</v>
      </c>
      <c r="B540" s="193">
        <v>5157</v>
      </c>
      <c r="C540" s="193">
        <v>2950</v>
      </c>
      <c r="D540" s="193">
        <v>69300</v>
      </c>
      <c r="E540" s="193">
        <v>0</v>
      </c>
      <c r="F540" s="194">
        <v>0</v>
      </c>
      <c r="G540" s="193">
        <v>0</v>
      </c>
      <c r="H540" s="193">
        <v>0</v>
      </c>
      <c r="I540" s="193">
        <v>0</v>
      </c>
      <c r="J540" s="321" t="str">
        <f t="shared" si="47"/>
        <v>3613/5157/2950/69300/0/0/0/0/0</v>
      </c>
      <c r="K540" s="321" t="s">
        <v>4375</v>
      </c>
      <c r="L540" s="201"/>
      <c r="M540" s="201"/>
      <c r="N540" s="201"/>
      <c r="O540" s="201"/>
      <c r="P540" s="201">
        <v>2865</v>
      </c>
      <c r="Q540" s="201">
        <v>20000</v>
      </c>
      <c r="R540" s="201">
        <v>20000</v>
      </c>
      <c r="S540" s="201">
        <v>20000</v>
      </c>
      <c r="T540" s="201"/>
      <c r="U540" s="403"/>
      <c r="V540" s="351"/>
    </row>
    <row r="541" spans="1:22" s="173" customFormat="1" outlineLevel="2" x14ac:dyDescent="0.25">
      <c r="A541" s="193">
        <v>3613</v>
      </c>
      <c r="B541" s="193">
        <v>5151</v>
      </c>
      <c r="C541" s="193">
        <v>2950</v>
      </c>
      <c r="D541" s="193">
        <v>69300</v>
      </c>
      <c r="E541" s="193">
        <v>0</v>
      </c>
      <c r="F541" s="194">
        <v>0</v>
      </c>
      <c r="G541" s="193">
        <v>0</v>
      </c>
      <c r="H541" s="193">
        <v>0</v>
      </c>
      <c r="I541" s="193">
        <v>0</v>
      </c>
      <c r="J541" s="321" t="str">
        <f t="shared" si="47"/>
        <v>3613/5151/2950/69300/0/0/0/0/0</v>
      </c>
      <c r="K541" s="321" t="s">
        <v>4373</v>
      </c>
      <c r="L541" s="201"/>
      <c r="M541" s="201"/>
      <c r="N541" s="201"/>
      <c r="O541" s="201"/>
      <c r="P541" s="201">
        <v>3105</v>
      </c>
      <c r="Q541" s="201">
        <v>15000</v>
      </c>
      <c r="R541" s="201">
        <v>15000</v>
      </c>
      <c r="S541" s="201">
        <v>15000</v>
      </c>
      <c r="T541" s="201"/>
      <c r="U541" s="403"/>
      <c r="V541" s="351"/>
    </row>
    <row r="542" spans="1:22" s="59" customFormat="1" outlineLevel="2" x14ac:dyDescent="0.25">
      <c r="A542" s="193">
        <v>3613</v>
      </c>
      <c r="B542" s="193">
        <v>5152</v>
      </c>
      <c r="C542" s="193">
        <v>2950</v>
      </c>
      <c r="D542" s="193">
        <v>69300</v>
      </c>
      <c r="E542" s="193">
        <v>0</v>
      </c>
      <c r="F542" s="194">
        <v>0</v>
      </c>
      <c r="G542" s="193">
        <v>0</v>
      </c>
      <c r="H542" s="193">
        <v>0</v>
      </c>
      <c r="I542" s="193">
        <v>0</v>
      </c>
      <c r="J542" s="321" t="str">
        <f t="shared" si="47"/>
        <v>3613/5152/2950/69300/0/0/0/0/0</v>
      </c>
      <c r="K542" s="321" t="s">
        <v>4374</v>
      </c>
      <c r="L542" s="201"/>
      <c r="M542" s="201"/>
      <c r="N542" s="201"/>
      <c r="O542" s="201"/>
      <c r="P542" s="201">
        <v>16350</v>
      </c>
      <c r="Q542" s="201">
        <v>75000</v>
      </c>
      <c r="R542" s="201">
        <v>75000</v>
      </c>
      <c r="S542" s="201">
        <v>75000</v>
      </c>
      <c r="T542" s="201"/>
      <c r="U542" s="403"/>
      <c r="V542" s="359"/>
    </row>
    <row r="543" spans="1:22" s="59" customFormat="1" outlineLevel="2" x14ac:dyDescent="0.25">
      <c r="A543" s="193">
        <v>3613</v>
      </c>
      <c r="B543" s="193">
        <v>5909</v>
      </c>
      <c r="C543" s="193">
        <v>2950</v>
      </c>
      <c r="D543" s="193">
        <v>0</v>
      </c>
      <c r="E543" s="193">
        <v>0</v>
      </c>
      <c r="F543" s="194">
        <v>0</v>
      </c>
      <c r="G543" s="193">
        <v>0</v>
      </c>
      <c r="H543" s="193">
        <v>0</v>
      </c>
      <c r="I543" s="193">
        <v>0</v>
      </c>
      <c r="J543" s="321" t="str">
        <f t="shared" ref="J543:J574" si="48">CONCATENATE(A543,"/",B543,"/",C543,"/",D543,"/",E543,"/",F543,"/",G543,"/",H543,"/",I543)</f>
        <v>3613/5909/2950/0/0/0/0/0/0</v>
      </c>
      <c r="K543" s="321" t="s">
        <v>482</v>
      </c>
      <c r="L543" s="201">
        <v>608</v>
      </c>
      <c r="M543" s="201">
        <v>600</v>
      </c>
      <c r="N543" s="201">
        <v>600</v>
      </c>
      <c r="O543" s="201">
        <v>714</v>
      </c>
      <c r="P543" s="201">
        <v>638</v>
      </c>
      <c r="Q543" s="201">
        <v>60000</v>
      </c>
      <c r="R543" s="201">
        <v>377214.5</v>
      </c>
      <c r="S543" s="201">
        <v>60000</v>
      </c>
      <c r="T543" s="201"/>
      <c r="U543" s="403"/>
      <c r="V543" s="351"/>
    </row>
    <row r="544" spans="1:22" s="173" customFormat="1" outlineLevel="2" x14ac:dyDescent="0.25">
      <c r="A544" s="193">
        <v>3612</v>
      </c>
      <c r="B544" s="442">
        <v>5154</v>
      </c>
      <c r="C544" s="193">
        <v>2950</v>
      </c>
      <c r="D544" s="193">
        <v>69300</v>
      </c>
      <c r="E544" s="193">
        <v>0</v>
      </c>
      <c r="F544" s="194">
        <v>0</v>
      </c>
      <c r="G544" s="193">
        <v>0</v>
      </c>
      <c r="H544" s="193">
        <v>0</v>
      </c>
      <c r="I544" s="193">
        <v>0</v>
      </c>
      <c r="J544" s="321" t="str">
        <f t="shared" si="48"/>
        <v>3612/5154/2950/69300/0/0/0/0/0</v>
      </c>
      <c r="K544" s="321" t="s">
        <v>483</v>
      </c>
      <c r="L544" s="201">
        <v>11336</v>
      </c>
      <c r="M544" s="201">
        <v>11156</v>
      </c>
      <c r="N544" s="201">
        <v>11776</v>
      </c>
      <c r="O544" s="201">
        <v>17386</v>
      </c>
      <c r="P544" s="201">
        <v>37805</v>
      </c>
      <c r="Q544" s="201">
        <v>150000</v>
      </c>
      <c r="R544" s="201">
        <v>150000</v>
      </c>
      <c r="S544" s="201">
        <v>150000</v>
      </c>
      <c r="T544" s="201"/>
      <c r="U544" s="403"/>
      <c r="V544" s="351"/>
    </row>
    <row r="545" spans="1:22" s="59" customFormat="1" outlineLevel="2" x14ac:dyDescent="0.25">
      <c r="A545" s="193">
        <v>3612</v>
      </c>
      <c r="B545" s="442">
        <v>5179</v>
      </c>
      <c r="C545" s="193">
        <v>2950</v>
      </c>
      <c r="D545" s="193">
        <v>69300</v>
      </c>
      <c r="E545" s="193">
        <v>0</v>
      </c>
      <c r="F545" s="194">
        <v>0</v>
      </c>
      <c r="G545" s="193">
        <v>0</v>
      </c>
      <c r="H545" s="193">
        <v>0</v>
      </c>
      <c r="I545" s="193">
        <v>0</v>
      </c>
      <c r="J545" s="321" t="str">
        <f t="shared" si="48"/>
        <v>3612/5179/2950/69300/0/0/0/0/0</v>
      </c>
      <c r="K545" s="321" t="s">
        <v>484</v>
      </c>
      <c r="L545" s="201">
        <v>355786</v>
      </c>
      <c r="M545" s="201">
        <v>366288</v>
      </c>
      <c r="N545" s="201">
        <v>380028</v>
      </c>
      <c r="O545" s="201">
        <v>436614</v>
      </c>
      <c r="P545" s="201">
        <v>909373</v>
      </c>
      <c r="Q545" s="201">
        <v>1000000</v>
      </c>
      <c r="R545" s="201">
        <v>1000000</v>
      </c>
      <c r="S545" s="201">
        <v>1130000</v>
      </c>
      <c r="T545" s="201"/>
      <c r="U545" s="403"/>
      <c r="V545" s="359"/>
    </row>
    <row r="546" spans="1:22" s="59" customFormat="1" outlineLevel="2" x14ac:dyDescent="0.25">
      <c r="A546" s="193">
        <v>3612</v>
      </c>
      <c r="B546" s="442">
        <v>5169</v>
      </c>
      <c r="C546" s="193">
        <v>2950</v>
      </c>
      <c r="D546" s="193">
        <v>69301</v>
      </c>
      <c r="E546" s="193">
        <v>0</v>
      </c>
      <c r="F546" s="194">
        <v>0</v>
      </c>
      <c r="G546" s="193">
        <v>0</v>
      </c>
      <c r="H546" s="193">
        <v>0</v>
      </c>
      <c r="I546" s="193">
        <v>0</v>
      </c>
      <c r="J546" s="321" t="str">
        <f t="shared" si="48"/>
        <v>3612/5169/2950/69301/0/0/0/0/0</v>
      </c>
      <c r="K546" s="321" t="s">
        <v>485</v>
      </c>
      <c r="L546" s="201">
        <f>6330+99527.07+213.16</f>
        <v>106070.23000000001</v>
      </c>
      <c r="M546" s="201">
        <f>6480+81014.99+182.61</f>
        <v>87677.6</v>
      </c>
      <c r="N546" s="201">
        <v>7200</v>
      </c>
      <c r="O546" s="201">
        <v>22768</v>
      </c>
      <c r="P546" s="201">
        <v>78803</v>
      </c>
      <c r="Q546" s="201">
        <v>80000</v>
      </c>
      <c r="R546" s="201">
        <v>80000</v>
      </c>
      <c r="S546" s="201">
        <v>80000</v>
      </c>
      <c r="T546" s="201"/>
      <c r="U546" s="403"/>
      <c r="V546" s="359"/>
    </row>
    <row r="547" spans="1:22" s="59" customFormat="1" outlineLevel="2" x14ac:dyDescent="0.25">
      <c r="A547" s="193">
        <v>3612</v>
      </c>
      <c r="B547" s="442">
        <v>5169</v>
      </c>
      <c r="C547" s="193">
        <v>2950</v>
      </c>
      <c r="D547" s="193">
        <v>69300</v>
      </c>
      <c r="E547" s="193">
        <v>0</v>
      </c>
      <c r="F547" s="194">
        <v>0</v>
      </c>
      <c r="G547" s="193">
        <v>0</v>
      </c>
      <c r="H547" s="193">
        <v>0</v>
      </c>
      <c r="I547" s="193">
        <v>0</v>
      </c>
      <c r="J547" s="321" t="str">
        <f t="shared" si="48"/>
        <v>3612/5169/2950/69300/0/0/0/0/0</v>
      </c>
      <c r="K547" s="321" t="s">
        <v>486</v>
      </c>
      <c r="L547" s="201">
        <v>49270</v>
      </c>
      <c r="M547" s="201">
        <v>50128</v>
      </c>
      <c r="N547" s="201">
        <v>51056</v>
      </c>
      <c r="O547" s="201">
        <v>59844</v>
      </c>
      <c r="P547" s="201">
        <v>131219</v>
      </c>
      <c r="Q547" s="201">
        <v>170000</v>
      </c>
      <c r="R547" s="201">
        <v>170000</v>
      </c>
      <c r="S547" s="201">
        <v>205000</v>
      </c>
      <c r="T547" s="201"/>
      <c r="U547" s="403"/>
      <c r="V547" s="359"/>
    </row>
    <row r="548" spans="1:22" s="173" customFormat="1" outlineLevel="2" x14ac:dyDescent="0.25">
      <c r="A548" s="193">
        <v>3612</v>
      </c>
      <c r="B548" s="442">
        <v>5152</v>
      </c>
      <c r="C548" s="193">
        <v>2950</v>
      </c>
      <c r="D548" s="193">
        <v>69300</v>
      </c>
      <c r="E548" s="193">
        <v>0</v>
      </c>
      <c r="F548" s="194">
        <v>0</v>
      </c>
      <c r="G548" s="193">
        <v>0</v>
      </c>
      <c r="H548" s="193">
        <v>0</v>
      </c>
      <c r="I548" s="193">
        <v>0</v>
      </c>
      <c r="J548" s="321" t="str">
        <f t="shared" si="48"/>
        <v>3612/5152/2950/69300/0/0/0/0/0</v>
      </c>
      <c r="K548" s="321" t="s">
        <v>487</v>
      </c>
      <c r="L548" s="201">
        <v>113629</v>
      </c>
      <c r="M548" s="201">
        <v>114392</v>
      </c>
      <c r="N548" s="201">
        <v>132640</v>
      </c>
      <c r="O548" s="201">
        <v>146067</v>
      </c>
      <c r="P548" s="201">
        <v>383140</v>
      </c>
      <c r="Q548" s="201">
        <v>500000</v>
      </c>
      <c r="R548" s="201">
        <v>500000</v>
      </c>
      <c r="S548" s="201">
        <v>600000</v>
      </c>
      <c r="T548" s="201"/>
      <c r="U548" s="403"/>
      <c r="V548" s="359"/>
    </row>
    <row r="549" spans="1:22" s="59" customFormat="1" outlineLevel="2" x14ac:dyDescent="0.25">
      <c r="A549" s="193">
        <v>3612</v>
      </c>
      <c r="B549" s="442">
        <v>5151</v>
      </c>
      <c r="C549" s="193">
        <v>2950</v>
      </c>
      <c r="D549" s="193">
        <v>69300</v>
      </c>
      <c r="E549" s="193">
        <v>0</v>
      </c>
      <c r="F549" s="194">
        <v>0</v>
      </c>
      <c r="G549" s="193">
        <v>0</v>
      </c>
      <c r="H549" s="193">
        <v>0</v>
      </c>
      <c r="I549" s="193">
        <v>0</v>
      </c>
      <c r="J549" s="321" t="str">
        <f t="shared" si="48"/>
        <v>3612/5151/2950/69300/0/0/0/0/0</v>
      </c>
      <c r="K549" s="321" t="s">
        <v>488</v>
      </c>
      <c r="L549" s="201">
        <v>133578</v>
      </c>
      <c r="M549" s="201">
        <v>137441</v>
      </c>
      <c r="N549" s="201">
        <v>140498</v>
      </c>
      <c r="O549" s="201">
        <v>165224</v>
      </c>
      <c r="P549" s="201">
        <v>273251</v>
      </c>
      <c r="Q549" s="201">
        <v>300000</v>
      </c>
      <c r="R549" s="201">
        <v>300000</v>
      </c>
      <c r="S549" s="201">
        <v>400000</v>
      </c>
      <c r="T549" s="201"/>
      <c r="U549" s="403"/>
      <c r="V549" s="359"/>
    </row>
    <row r="550" spans="1:22" s="59" customFormat="1" outlineLevel="2" x14ac:dyDescent="0.25">
      <c r="A550" s="193">
        <v>3612</v>
      </c>
      <c r="B550" s="442">
        <v>5909</v>
      </c>
      <c r="C550" s="193">
        <v>2950</v>
      </c>
      <c r="D550" s="193">
        <v>69300</v>
      </c>
      <c r="E550" s="193">
        <v>0</v>
      </c>
      <c r="F550" s="194">
        <v>0</v>
      </c>
      <c r="G550" s="193">
        <v>0</v>
      </c>
      <c r="H550" s="193">
        <v>0</v>
      </c>
      <c r="I550" s="193">
        <v>0</v>
      </c>
      <c r="J550" s="321" t="str">
        <f t="shared" si="48"/>
        <v>3612/5909/2950/69300/0/0/0/0/0</v>
      </c>
      <c r="K550" s="321" t="s">
        <v>489</v>
      </c>
      <c r="L550" s="201">
        <v>64435</v>
      </c>
      <c r="M550" s="201">
        <v>62477</v>
      </c>
      <c r="N550" s="201">
        <v>68062</v>
      </c>
      <c r="O550" s="201">
        <v>90640</v>
      </c>
      <c r="P550" s="201">
        <v>86995</v>
      </c>
      <c r="Q550" s="201">
        <v>300000</v>
      </c>
      <c r="R550" s="201">
        <v>300000</v>
      </c>
      <c r="S550" s="201">
        <v>330000</v>
      </c>
      <c r="T550" s="201"/>
      <c r="U550" s="403"/>
      <c r="V550" s="359"/>
    </row>
    <row r="551" spans="1:22" s="59" customFormat="1" outlineLevel="2" x14ac:dyDescent="0.25">
      <c r="A551" s="193">
        <v>3612</v>
      </c>
      <c r="B551" s="442">
        <v>5157</v>
      </c>
      <c r="C551" s="193">
        <v>2950</v>
      </c>
      <c r="D551" s="193">
        <v>69300</v>
      </c>
      <c r="E551" s="193">
        <v>0</v>
      </c>
      <c r="F551" s="194">
        <v>0</v>
      </c>
      <c r="G551" s="193">
        <v>0</v>
      </c>
      <c r="H551" s="193">
        <v>0</v>
      </c>
      <c r="I551" s="193">
        <v>0</v>
      </c>
      <c r="J551" s="321" t="str">
        <f t="shared" si="48"/>
        <v>3612/5157/2950/69300/0/0/0/0/0</v>
      </c>
      <c r="K551" s="321" t="s">
        <v>490</v>
      </c>
      <c r="L551" s="201">
        <v>99561</v>
      </c>
      <c r="M551" s="201">
        <v>94160</v>
      </c>
      <c r="N551" s="201">
        <v>90732</v>
      </c>
      <c r="O551" s="201">
        <v>116043</v>
      </c>
      <c r="P551" s="201">
        <v>259759</v>
      </c>
      <c r="Q551" s="201">
        <v>400000</v>
      </c>
      <c r="R551" s="201">
        <v>400000</v>
      </c>
      <c r="S551" s="201">
        <v>450000</v>
      </c>
      <c r="T551" s="201"/>
      <c r="U551" s="403"/>
      <c r="V551" s="351"/>
    </row>
    <row r="552" spans="1:22" s="59" customFormat="1" outlineLevel="2" x14ac:dyDescent="0.25">
      <c r="A552" s="193">
        <v>3412</v>
      </c>
      <c r="B552" s="193">
        <v>5154</v>
      </c>
      <c r="C552" s="193">
        <v>2950</v>
      </c>
      <c r="D552" s="193">
        <v>16432</v>
      </c>
      <c r="E552" s="193">
        <v>0</v>
      </c>
      <c r="F552" s="194">
        <v>0</v>
      </c>
      <c r="G552" s="193">
        <v>0</v>
      </c>
      <c r="H552" s="193">
        <v>0</v>
      </c>
      <c r="I552" s="193">
        <v>0</v>
      </c>
      <c r="J552" s="321" t="str">
        <f t="shared" si="48"/>
        <v>3412/5154/2950/16432/0/0/0/0/0</v>
      </c>
      <c r="K552" s="321" t="s">
        <v>5076</v>
      </c>
      <c r="L552" s="201">
        <v>31946.54</v>
      </c>
      <c r="M552" s="201">
        <v>53280</v>
      </c>
      <c r="N552" s="201">
        <v>62780.77</v>
      </c>
      <c r="O552" s="201">
        <v>86190</v>
      </c>
      <c r="P552" s="201">
        <v>167598.39000000001</v>
      </c>
      <c r="Q552" s="201">
        <v>265000</v>
      </c>
      <c r="R552" s="201">
        <v>265000</v>
      </c>
      <c r="S552" s="201">
        <v>260000</v>
      </c>
      <c r="T552" s="201"/>
      <c r="U552" s="403"/>
      <c r="V552" s="351"/>
    </row>
    <row r="553" spans="1:22" s="59" customFormat="1" outlineLevel="2" x14ac:dyDescent="0.25">
      <c r="A553" s="193">
        <v>3412</v>
      </c>
      <c r="B553" s="193">
        <v>5153</v>
      </c>
      <c r="C553" s="193">
        <v>2950</v>
      </c>
      <c r="D553" s="193">
        <v>16432</v>
      </c>
      <c r="E553" s="193">
        <v>0</v>
      </c>
      <c r="F553" s="194">
        <v>0</v>
      </c>
      <c r="G553" s="193">
        <v>0</v>
      </c>
      <c r="H553" s="193">
        <v>0</v>
      </c>
      <c r="I553" s="193">
        <v>0</v>
      </c>
      <c r="J553" s="321" t="str">
        <f t="shared" si="48"/>
        <v>3412/5153/2950/16432/0/0/0/0/0</v>
      </c>
      <c r="K553" s="321" t="s">
        <v>491</v>
      </c>
      <c r="L553" s="201">
        <v>162947.22</v>
      </c>
      <c r="M553" s="201">
        <v>151400.64000000001</v>
      </c>
      <c r="N553" s="201">
        <v>147332.29</v>
      </c>
      <c r="O553" s="201">
        <v>116541.69</v>
      </c>
      <c r="P553" s="201">
        <v>113399.3</v>
      </c>
      <c r="Q553" s="201">
        <v>363000</v>
      </c>
      <c r="R553" s="201">
        <v>363000</v>
      </c>
      <c r="S553" s="201">
        <v>360000</v>
      </c>
      <c r="T553" s="201"/>
      <c r="U553" s="403"/>
      <c r="V553" s="359"/>
    </row>
    <row r="554" spans="1:22" s="59" customFormat="1" outlineLevel="2" x14ac:dyDescent="0.25">
      <c r="A554" s="193">
        <v>3412</v>
      </c>
      <c r="B554" s="193">
        <v>5151</v>
      </c>
      <c r="C554" s="193">
        <v>2950</v>
      </c>
      <c r="D554" s="193">
        <v>16432</v>
      </c>
      <c r="E554" s="193">
        <v>0</v>
      </c>
      <c r="F554" s="194">
        <v>0</v>
      </c>
      <c r="G554" s="193">
        <v>0</v>
      </c>
      <c r="H554" s="193">
        <v>0</v>
      </c>
      <c r="I554" s="193">
        <v>0</v>
      </c>
      <c r="J554" s="321" t="str">
        <f t="shared" si="48"/>
        <v>3412/5151/2950/16432/0/0/0/0/0</v>
      </c>
      <c r="K554" s="321" t="s">
        <v>492</v>
      </c>
      <c r="L554" s="201">
        <v>136013</v>
      </c>
      <c r="M554" s="201">
        <v>142429</v>
      </c>
      <c r="N554" s="201">
        <v>146870</v>
      </c>
      <c r="O554" s="201">
        <v>144402</v>
      </c>
      <c r="P554" s="201">
        <v>177120</v>
      </c>
      <c r="Q554" s="201">
        <v>150000</v>
      </c>
      <c r="R554" s="201">
        <v>150000</v>
      </c>
      <c r="S554" s="201">
        <v>190000</v>
      </c>
      <c r="T554" s="201"/>
      <c r="U554" s="403"/>
      <c r="V554" s="351"/>
    </row>
    <row r="555" spans="1:22" s="59" customFormat="1" outlineLevel="2" x14ac:dyDescent="0.25">
      <c r="A555" s="193">
        <v>3633</v>
      </c>
      <c r="B555" s="193">
        <v>5154</v>
      </c>
      <c r="C555" s="193">
        <v>2950</v>
      </c>
      <c r="D555" s="193">
        <v>0</v>
      </c>
      <c r="E555" s="193">
        <v>0</v>
      </c>
      <c r="F555" s="194">
        <v>0</v>
      </c>
      <c r="G555" s="193">
        <v>0</v>
      </c>
      <c r="H555" s="193">
        <v>0</v>
      </c>
      <c r="I555" s="193">
        <v>0</v>
      </c>
      <c r="J555" s="321" t="str">
        <f t="shared" si="48"/>
        <v>3633/5154/2950/0/0/0/0/0/0</v>
      </c>
      <c r="K555" s="321" t="s">
        <v>5077</v>
      </c>
      <c r="L555" s="201">
        <v>4915</v>
      </c>
      <c r="M555" s="201">
        <v>1641.6</v>
      </c>
      <c r="N555" s="201">
        <v>26247.83</v>
      </c>
      <c r="O555" s="201">
        <v>33469.64</v>
      </c>
      <c r="P555" s="201">
        <v>26135.72</v>
      </c>
      <c r="Q555" s="201">
        <v>50000</v>
      </c>
      <c r="R555" s="201">
        <v>50000</v>
      </c>
      <c r="S555" s="201">
        <v>50000</v>
      </c>
      <c r="T555" s="201"/>
      <c r="U555" s="403"/>
      <c r="V555" s="351"/>
    </row>
    <row r="556" spans="1:22" s="59" customFormat="1" outlineLevel="2" x14ac:dyDescent="0.25">
      <c r="A556" s="193">
        <v>3745</v>
      </c>
      <c r="B556" s="193">
        <v>5151</v>
      </c>
      <c r="C556" s="193">
        <v>2950</v>
      </c>
      <c r="D556" s="193">
        <v>20628</v>
      </c>
      <c r="E556" s="193">
        <v>0</v>
      </c>
      <c r="F556" s="194">
        <v>0</v>
      </c>
      <c r="G556" s="193">
        <v>0</v>
      </c>
      <c r="H556" s="193">
        <v>0</v>
      </c>
      <c r="I556" s="193">
        <v>0</v>
      </c>
      <c r="J556" s="321" t="str">
        <f t="shared" si="48"/>
        <v>3745/5151/2950/20628/0/0/0/0/0</v>
      </c>
      <c r="K556" s="321" t="s">
        <v>493</v>
      </c>
      <c r="L556" s="201">
        <v>24058</v>
      </c>
      <c r="M556" s="201">
        <v>25108</v>
      </c>
      <c r="N556" s="201">
        <v>28315</v>
      </c>
      <c r="O556" s="201">
        <v>158101</v>
      </c>
      <c r="P556" s="201">
        <v>141951</v>
      </c>
      <c r="Q556" s="201">
        <v>170000</v>
      </c>
      <c r="R556" s="201">
        <v>170000</v>
      </c>
      <c r="S556" s="201">
        <v>170000</v>
      </c>
      <c r="T556" s="201"/>
      <c r="U556" s="403"/>
      <c r="V556" s="351"/>
    </row>
    <row r="557" spans="1:22" s="59" customFormat="1" outlineLevel="2" x14ac:dyDescent="0.25">
      <c r="A557" s="193">
        <v>6171</v>
      </c>
      <c r="B557" s="193">
        <v>5163</v>
      </c>
      <c r="C557" s="193">
        <v>2950</v>
      </c>
      <c r="D557" s="193">
        <v>0</v>
      </c>
      <c r="E557" s="193">
        <v>0</v>
      </c>
      <c r="F557" s="194">
        <v>0</v>
      </c>
      <c r="G557" s="193">
        <v>0</v>
      </c>
      <c r="H557" s="193">
        <v>0</v>
      </c>
      <c r="I557" s="193">
        <v>0</v>
      </c>
      <c r="J557" s="321" t="str">
        <f t="shared" si="48"/>
        <v>6171/5163/2950/0/0/0/0/0/0</v>
      </c>
      <c r="K557" s="321" t="s">
        <v>243</v>
      </c>
      <c r="L557" s="201">
        <v>1612376</v>
      </c>
      <c r="M557" s="201">
        <v>1623209</v>
      </c>
      <c r="N557" s="201">
        <v>1646821</v>
      </c>
      <c r="O557" s="201">
        <v>1861445</v>
      </c>
      <c r="P557" s="201">
        <v>1848627</v>
      </c>
      <c r="Q557" s="201">
        <v>1848630</v>
      </c>
      <c r="R557" s="201">
        <v>1848630</v>
      </c>
      <c r="S557" s="201">
        <v>2307968</v>
      </c>
      <c r="T557" s="201"/>
      <c r="U557" s="403"/>
      <c r="V557" s="359"/>
    </row>
    <row r="558" spans="1:22" s="59" customFormat="1" outlineLevel="2" x14ac:dyDescent="0.25">
      <c r="A558" s="204">
        <v>3632</v>
      </c>
      <c r="B558" s="204">
        <v>5169</v>
      </c>
      <c r="C558" s="204">
        <v>2950</v>
      </c>
      <c r="D558" s="204">
        <v>0</v>
      </c>
      <c r="E558" s="193">
        <v>0</v>
      </c>
      <c r="F558" s="194">
        <v>0</v>
      </c>
      <c r="G558" s="193">
        <v>0</v>
      </c>
      <c r="H558" s="204">
        <v>0</v>
      </c>
      <c r="I558" s="204">
        <v>0</v>
      </c>
      <c r="J558" s="337" t="str">
        <f t="shared" si="48"/>
        <v>3632/5169/2950/0/0/0/0/0/0</v>
      </c>
      <c r="K558" s="337" t="s">
        <v>3816</v>
      </c>
      <c r="L558" s="364"/>
      <c r="M558" s="364"/>
      <c r="N558" s="364"/>
      <c r="O558" s="364"/>
      <c r="P558" s="364">
        <v>7000</v>
      </c>
      <c r="Q558" s="364">
        <v>7000</v>
      </c>
      <c r="R558" s="364">
        <v>7000</v>
      </c>
      <c r="S558" s="201">
        <v>7000</v>
      </c>
      <c r="T558" s="201"/>
      <c r="U558" s="403"/>
      <c r="V558" s="351"/>
    </row>
    <row r="559" spans="1:22" s="59" customFormat="1" outlineLevel="2" x14ac:dyDescent="0.25">
      <c r="A559" s="193">
        <v>3612</v>
      </c>
      <c r="B559" s="442">
        <v>5169</v>
      </c>
      <c r="C559" s="193">
        <v>2950</v>
      </c>
      <c r="D559" s="193">
        <v>69209</v>
      </c>
      <c r="E559" s="193">
        <v>0</v>
      </c>
      <c r="F559" s="194">
        <v>0</v>
      </c>
      <c r="G559" s="193">
        <v>0</v>
      </c>
      <c r="H559" s="193">
        <v>0</v>
      </c>
      <c r="I559" s="193">
        <v>0</v>
      </c>
      <c r="J559" s="321" t="str">
        <f t="shared" si="48"/>
        <v>3612/5169/2950/69209/0/0/0/0/0</v>
      </c>
      <c r="K559" s="321" t="s">
        <v>494</v>
      </c>
      <c r="L559" s="201">
        <v>9113</v>
      </c>
      <c r="M559" s="201"/>
      <c r="N559" s="201">
        <v>64943</v>
      </c>
      <c r="O559" s="201">
        <v>26460</v>
      </c>
      <c r="P559" s="201"/>
      <c r="Q559" s="201">
        <v>20000</v>
      </c>
      <c r="R559" s="201">
        <v>20000</v>
      </c>
      <c r="S559" s="201">
        <v>20000</v>
      </c>
      <c r="T559" s="201"/>
      <c r="U559" s="403"/>
      <c r="V559" s="351"/>
    </row>
    <row r="560" spans="1:22" s="59" customFormat="1" outlineLevel="2" x14ac:dyDescent="0.25">
      <c r="A560" s="193">
        <v>3639</v>
      </c>
      <c r="B560" s="193">
        <v>5164</v>
      </c>
      <c r="C560" s="193">
        <v>2950</v>
      </c>
      <c r="D560" s="193">
        <v>0</v>
      </c>
      <c r="E560" s="193">
        <v>0</v>
      </c>
      <c r="F560" s="194">
        <v>0</v>
      </c>
      <c r="G560" s="193">
        <v>0</v>
      </c>
      <c r="H560" s="193">
        <v>0</v>
      </c>
      <c r="I560" s="193">
        <v>0</v>
      </c>
      <c r="J560" s="321" t="str">
        <f t="shared" si="48"/>
        <v>3639/5164/2950/0/0/0/0/0/0</v>
      </c>
      <c r="K560" s="321" t="s">
        <v>495</v>
      </c>
      <c r="L560" s="201">
        <v>32478</v>
      </c>
      <c r="M560" s="201">
        <v>33296</v>
      </c>
      <c r="N560" s="201">
        <v>41728.69</v>
      </c>
      <c r="O560" s="201">
        <v>55117.21</v>
      </c>
      <c r="P560" s="201">
        <v>58496.38</v>
      </c>
      <c r="Q560" s="201">
        <v>130000</v>
      </c>
      <c r="R560" s="201">
        <v>129330</v>
      </c>
      <c r="S560" s="201">
        <v>130000</v>
      </c>
      <c r="T560" s="201"/>
      <c r="U560" s="403"/>
      <c r="V560" s="351"/>
    </row>
    <row r="561" spans="1:22" s="59" customFormat="1" outlineLevel="2" x14ac:dyDescent="0.25">
      <c r="A561" s="193">
        <v>3639</v>
      </c>
      <c r="B561" s="193">
        <v>5166</v>
      </c>
      <c r="C561" s="193">
        <v>2950</v>
      </c>
      <c r="D561" s="193">
        <v>0</v>
      </c>
      <c r="E561" s="193">
        <v>0</v>
      </c>
      <c r="F561" s="194">
        <v>0</v>
      </c>
      <c r="G561" s="193">
        <v>0</v>
      </c>
      <c r="H561" s="193">
        <v>0</v>
      </c>
      <c r="I561" s="193">
        <v>0</v>
      </c>
      <c r="J561" s="321" t="str">
        <f t="shared" si="48"/>
        <v>3639/5166/2950/0/0/0/0/0/0</v>
      </c>
      <c r="K561" s="321" t="s">
        <v>496</v>
      </c>
      <c r="L561" s="201">
        <v>4235</v>
      </c>
      <c r="M561" s="201">
        <v>6400</v>
      </c>
      <c r="N561" s="201">
        <v>3500</v>
      </c>
      <c r="O561" s="201">
        <v>10000</v>
      </c>
      <c r="P561" s="201"/>
      <c r="Q561" s="201">
        <v>6000</v>
      </c>
      <c r="R561" s="201">
        <v>6000</v>
      </c>
      <c r="S561" s="201">
        <v>6000</v>
      </c>
      <c r="T561" s="201"/>
      <c r="U561" s="403"/>
      <c r="V561" s="351"/>
    </row>
    <row r="562" spans="1:22" s="59" customFormat="1" outlineLevel="2" x14ac:dyDescent="0.25">
      <c r="A562" s="193">
        <v>1014</v>
      </c>
      <c r="B562" s="193">
        <v>5154</v>
      </c>
      <c r="C562" s="193">
        <v>2950</v>
      </c>
      <c r="D562" s="193">
        <v>65739</v>
      </c>
      <c r="E562" s="193">
        <v>0</v>
      </c>
      <c r="F562" s="194">
        <v>0</v>
      </c>
      <c r="G562" s="193">
        <v>0</v>
      </c>
      <c r="H562" s="193">
        <v>0</v>
      </c>
      <c r="I562" s="193">
        <v>0</v>
      </c>
      <c r="J562" s="321" t="str">
        <f t="shared" si="48"/>
        <v>1014/5154/2950/65739/0/0/0/0/0</v>
      </c>
      <c r="K562" s="321" t="s">
        <v>5078</v>
      </c>
      <c r="L562" s="201">
        <v>71630.850000000006</v>
      </c>
      <c r="M562" s="201">
        <v>91894.38</v>
      </c>
      <c r="N562" s="201">
        <v>115923.07</v>
      </c>
      <c r="O562" s="201">
        <v>108310</v>
      </c>
      <c r="P562" s="201">
        <v>120560</v>
      </c>
      <c r="Q562" s="201">
        <v>228000</v>
      </c>
      <c r="R562" s="201">
        <v>228000</v>
      </c>
      <c r="S562" s="201">
        <v>400000</v>
      </c>
      <c r="T562" s="201"/>
      <c r="U562" s="403"/>
      <c r="V562" s="351"/>
    </row>
    <row r="563" spans="1:22" s="59" customFormat="1" outlineLevel="2" x14ac:dyDescent="0.25">
      <c r="A563" s="193">
        <v>1014</v>
      </c>
      <c r="B563" s="193">
        <v>5151</v>
      </c>
      <c r="C563" s="193">
        <v>2950</v>
      </c>
      <c r="D563" s="193">
        <v>65739</v>
      </c>
      <c r="E563" s="193">
        <v>0</v>
      </c>
      <c r="F563" s="194">
        <v>0</v>
      </c>
      <c r="G563" s="193">
        <v>0</v>
      </c>
      <c r="H563" s="193">
        <v>0</v>
      </c>
      <c r="I563" s="193">
        <v>0</v>
      </c>
      <c r="J563" s="321" t="str">
        <f t="shared" si="48"/>
        <v>1014/5151/2950/65739/0/0/0/0/0</v>
      </c>
      <c r="K563" s="321" t="s">
        <v>497</v>
      </c>
      <c r="L563" s="201">
        <v>12934</v>
      </c>
      <c r="M563" s="201">
        <v>12651</v>
      </c>
      <c r="N563" s="201">
        <v>13995</v>
      </c>
      <c r="O563" s="201">
        <v>11944</v>
      </c>
      <c r="P563" s="201">
        <v>16398</v>
      </c>
      <c r="Q563" s="201">
        <v>15000</v>
      </c>
      <c r="R563" s="201">
        <v>15000</v>
      </c>
      <c r="S563" s="201">
        <v>23000</v>
      </c>
      <c r="T563" s="201"/>
      <c r="U563" s="403" t="s">
        <v>4934</v>
      </c>
      <c r="V563" s="351"/>
    </row>
    <row r="564" spans="1:22" s="59" customFormat="1" outlineLevel="2" x14ac:dyDescent="0.25">
      <c r="A564" s="193">
        <v>3613</v>
      </c>
      <c r="B564" s="193">
        <v>5154</v>
      </c>
      <c r="C564" s="193">
        <v>2950</v>
      </c>
      <c r="D564" s="193">
        <v>12001</v>
      </c>
      <c r="E564" s="193">
        <v>0</v>
      </c>
      <c r="F564" s="194">
        <v>0</v>
      </c>
      <c r="G564" s="193">
        <v>0</v>
      </c>
      <c r="H564" s="193">
        <v>0</v>
      </c>
      <c r="I564" s="193">
        <v>0</v>
      </c>
      <c r="J564" s="321" t="str">
        <f t="shared" si="48"/>
        <v>3613/5154/2950/12001/0/0/0/0/0</v>
      </c>
      <c r="K564" s="321" t="s">
        <v>5079</v>
      </c>
      <c r="L564" s="201">
        <v>449204.32</v>
      </c>
      <c r="M564" s="201">
        <v>605965.97</v>
      </c>
      <c r="N564" s="201">
        <v>824266.4</v>
      </c>
      <c r="O564" s="201">
        <v>665001.44999999995</v>
      </c>
      <c r="P564" s="201">
        <v>685243.76</v>
      </c>
      <c r="Q564" s="201">
        <v>1413000</v>
      </c>
      <c r="R564" s="201">
        <v>1333000</v>
      </c>
      <c r="S564" s="201">
        <v>1413000</v>
      </c>
      <c r="T564" s="201"/>
      <c r="U564" s="403"/>
      <c r="V564" s="351"/>
    </row>
    <row r="565" spans="1:22" s="59" customFormat="1" outlineLevel="2" x14ac:dyDescent="0.25">
      <c r="A565" s="193">
        <v>3613</v>
      </c>
      <c r="B565" s="193">
        <v>5153</v>
      </c>
      <c r="C565" s="193">
        <v>2950</v>
      </c>
      <c r="D565" s="193">
        <v>12001</v>
      </c>
      <c r="E565" s="193">
        <v>0</v>
      </c>
      <c r="F565" s="194">
        <v>0</v>
      </c>
      <c r="G565" s="193">
        <v>0</v>
      </c>
      <c r="H565" s="193">
        <v>0</v>
      </c>
      <c r="I565" s="193">
        <v>0</v>
      </c>
      <c r="J565" s="321" t="str">
        <f t="shared" si="48"/>
        <v>3613/5153/2950/12001/0/0/0/0/0</v>
      </c>
      <c r="K565" s="321" t="s">
        <v>498</v>
      </c>
      <c r="L565" s="201">
        <v>614546</v>
      </c>
      <c r="M565" s="201">
        <v>564975.72</v>
      </c>
      <c r="N565" s="201">
        <v>560662.16</v>
      </c>
      <c r="O565" s="201">
        <v>537528.92000000004</v>
      </c>
      <c r="P565" s="201">
        <v>416794.82</v>
      </c>
      <c r="Q565" s="201">
        <v>2270000</v>
      </c>
      <c r="R565" s="201">
        <v>2270000</v>
      </c>
      <c r="S565" s="201">
        <v>2270000</v>
      </c>
      <c r="T565" s="201"/>
      <c r="U565" s="403"/>
      <c r="V565" s="359"/>
    </row>
    <row r="566" spans="1:22" s="59" customFormat="1" outlineLevel="2" x14ac:dyDescent="0.25">
      <c r="A566" s="193">
        <v>3613</v>
      </c>
      <c r="B566" s="193">
        <v>5151</v>
      </c>
      <c r="C566" s="193">
        <v>2950</v>
      </c>
      <c r="D566" s="193">
        <v>12001</v>
      </c>
      <c r="E566" s="193">
        <v>0</v>
      </c>
      <c r="F566" s="194">
        <v>0</v>
      </c>
      <c r="G566" s="193">
        <v>0</v>
      </c>
      <c r="H566" s="193">
        <v>0</v>
      </c>
      <c r="I566" s="193">
        <v>0</v>
      </c>
      <c r="J566" s="321" t="str">
        <f t="shared" si="48"/>
        <v>3613/5151/2950/12001/0/0/0/0/0</v>
      </c>
      <c r="K566" s="321" t="s">
        <v>499</v>
      </c>
      <c r="L566" s="201">
        <v>126203</v>
      </c>
      <c r="M566" s="201">
        <v>138624</v>
      </c>
      <c r="N566" s="201">
        <v>135286</v>
      </c>
      <c r="O566" s="201">
        <v>156854</v>
      </c>
      <c r="P566" s="201">
        <v>152417</v>
      </c>
      <c r="Q566" s="201">
        <v>150000</v>
      </c>
      <c r="R566" s="201">
        <v>150000</v>
      </c>
      <c r="S566" s="201">
        <v>210000</v>
      </c>
      <c r="T566" s="201"/>
      <c r="U566" s="403"/>
      <c r="V566" s="351"/>
    </row>
    <row r="567" spans="1:22" s="59" customFormat="1" outlineLevel="2" x14ac:dyDescent="0.25">
      <c r="A567" s="193">
        <v>3313</v>
      </c>
      <c r="B567" s="193">
        <v>5164</v>
      </c>
      <c r="C567" s="193">
        <v>2950</v>
      </c>
      <c r="D567" s="193">
        <v>0</v>
      </c>
      <c r="E567" s="193">
        <v>0</v>
      </c>
      <c r="F567" s="269">
        <v>0</v>
      </c>
      <c r="G567" s="269">
        <v>0</v>
      </c>
      <c r="H567" s="269">
        <v>1</v>
      </c>
      <c r="I567" s="269">
        <v>0</v>
      </c>
      <c r="J567" s="290" t="str">
        <f t="shared" si="48"/>
        <v>3313/5164/2950/0/0/0/0/1/0</v>
      </c>
      <c r="K567" s="290" t="s">
        <v>4413</v>
      </c>
      <c r="L567" s="63"/>
      <c r="M567" s="63"/>
      <c r="N567" s="63"/>
      <c r="O567" s="63"/>
      <c r="P567" s="63"/>
      <c r="Q567" s="63">
        <v>24200</v>
      </c>
      <c r="R567" s="63">
        <v>24200</v>
      </c>
      <c r="S567" s="201">
        <v>24200</v>
      </c>
      <c r="T567" s="201"/>
      <c r="U567" s="403"/>
      <c r="V567" s="351"/>
    </row>
    <row r="568" spans="1:22" s="59" customFormat="1" outlineLevel="2" x14ac:dyDescent="0.25">
      <c r="A568" s="193">
        <v>3631</v>
      </c>
      <c r="B568" s="193">
        <v>5154</v>
      </c>
      <c r="C568" s="193">
        <v>2950</v>
      </c>
      <c r="D568" s="193">
        <v>69450</v>
      </c>
      <c r="E568" s="193">
        <v>0</v>
      </c>
      <c r="F568" s="194">
        <v>0</v>
      </c>
      <c r="G568" s="193">
        <v>0</v>
      </c>
      <c r="H568" s="193">
        <v>0</v>
      </c>
      <c r="I568" s="193">
        <v>0</v>
      </c>
      <c r="J568" s="321" t="str">
        <f t="shared" si="48"/>
        <v>3631/5154/2950/69450/0/0/0/0/0</v>
      </c>
      <c r="K568" s="321" t="s">
        <v>500</v>
      </c>
      <c r="L568" s="201">
        <f>265242.59+4500</f>
        <v>269742.59000000003</v>
      </c>
      <c r="M568" s="201">
        <v>406267.88</v>
      </c>
      <c r="N568" s="201">
        <v>356816.83</v>
      </c>
      <c r="O568" s="201">
        <v>373882.88</v>
      </c>
      <c r="P568" s="201">
        <v>421036.2</v>
      </c>
      <c r="Q568" s="201">
        <v>708000</v>
      </c>
      <c r="R568" s="201">
        <v>708000</v>
      </c>
      <c r="S568" s="201">
        <v>708000</v>
      </c>
      <c r="T568" s="201"/>
      <c r="U568" s="403"/>
      <c r="V568" s="351"/>
    </row>
    <row r="569" spans="1:22" s="59" customFormat="1" outlineLevel="2" x14ac:dyDescent="0.25">
      <c r="A569" s="193">
        <v>3412</v>
      </c>
      <c r="B569" s="193">
        <v>5154</v>
      </c>
      <c r="C569" s="193">
        <v>2950</v>
      </c>
      <c r="D569" s="193">
        <v>16807</v>
      </c>
      <c r="E569" s="193">
        <v>0</v>
      </c>
      <c r="F569" s="194">
        <v>0</v>
      </c>
      <c r="G569" s="193">
        <v>0</v>
      </c>
      <c r="H569" s="193">
        <v>0</v>
      </c>
      <c r="I569" s="193">
        <v>0</v>
      </c>
      <c r="J569" s="321" t="str">
        <f t="shared" si="48"/>
        <v>3412/5154/2950/16807/0/0/0/0/0</v>
      </c>
      <c r="K569" s="321" t="s">
        <v>5080</v>
      </c>
      <c r="L569" s="201">
        <f>37930-51653.07</f>
        <v>-13723.07</v>
      </c>
      <c r="M569" s="201">
        <v>162915</v>
      </c>
      <c r="N569" s="201">
        <v>59350</v>
      </c>
      <c r="O569" s="201">
        <v>97466.8</v>
      </c>
      <c r="P569" s="201">
        <v>78650</v>
      </c>
      <c r="Q569" s="201">
        <v>123000</v>
      </c>
      <c r="R569" s="201">
        <v>123000</v>
      </c>
      <c r="S569" s="201">
        <v>150000</v>
      </c>
      <c r="T569" s="201"/>
      <c r="U569" s="403"/>
      <c r="V569" s="351"/>
    </row>
    <row r="570" spans="1:22" s="59" customFormat="1" outlineLevel="2" x14ac:dyDescent="0.25">
      <c r="A570" s="193">
        <v>3412</v>
      </c>
      <c r="B570" s="193">
        <v>5153</v>
      </c>
      <c r="C570" s="193">
        <v>2950</v>
      </c>
      <c r="D570" s="193">
        <v>16807</v>
      </c>
      <c r="E570" s="193">
        <v>0</v>
      </c>
      <c r="F570" s="194">
        <v>0</v>
      </c>
      <c r="G570" s="193">
        <v>0</v>
      </c>
      <c r="H570" s="193">
        <v>0</v>
      </c>
      <c r="I570" s="193">
        <v>0</v>
      </c>
      <c r="J570" s="321" t="str">
        <f t="shared" si="48"/>
        <v>3412/5153/2950/16807/0/0/0/0/0</v>
      </c>
      <c r="K570" s="321" t="s">
        <v>501</v>
      </c>
      <c r="L570" s="201">
        <f>15600+35836.02</f>
        <v>51436.02</v>
      </c>
      <c r="M570" s="201">
        <v>59752</v>
      </c>
      <c r="N570" s="201">
        <v>51259.4</v>
      </c>
      <c r="O570" s="201">
        <v>51986.47</v>
      </c>
      <c r="P570" s="201">
        <v>47506.61</v>
      </c>
      <c r="Q570" s="201">
        <v>170000</v>
      </c>
      <c r="R570" s="201">
        <v>168805</v>
      </c>
      <c r="S570" s="201">
        <v>300000</v>
      </c>
      <c r="T570" s="201"/>
      <c r="U570" s="403"/>
      <c r="V570" s="351"/>
    </row>
    <row r="571" spans="1:22" s="59" customFormat="1" outlineLevel="2" x14ac:dyDescent="0.25">
      <c r="A571" s="193">
        <v>3412</v>
      </c>
      <c r="B571" s="193">
        <v>5151</v>
      </c>
      <c r="C571" s="193">
        <v>2950</v>
      </c>
      <c r="D571" s="193">
        <v>16807</v>
      </c>
      <c r="E571" s="193">
        <v>0</v>
      </c>
      <c r="F571" s="194">
        <v>0</v>
      </c>
      <c r="G571" s="193">
        <v>0</v>
      </c>
      <c r="H571" s="193">
        <v>0</v>
      </c>
      <c r="I571" s="193">
        <v>0</v>
      </c>
      <c r="J571" s="321" t="str">
        <f t="shared" si="48"/>
        <v>3412/5151/2950/16807/0/0/0/0/0</v>
      </c>
      <c r="K571" s="321" t="s">
        <v>502</v>
      </c>
      <c r="L571" s="201">
        <f>2922+38166</f>
        <v>41088</v>
      </c>
      <c r="M571" s="201">
        <v>21989</v>
      </c>
      <c r="N571" s="201">
        <v>23702</v>
      </c>
      <c r="O571" s="201">
        <v>9433</v>
      </c>
      <c r="P571" s="201">
        <v>30503</v>
      </c>
      <c r="Q571" s="201">
        <v>28000</v>
      </c>
      <c r="R571" s="201">
        <v>28000</v>
      </c>
      <c r="S571" s="201">
        <v>50000</v>
      </c>
      <c r="T571" s="201"/>
      <c r="U571" s="403"/>
      <c r="V571" s="351"/>
    </row>
    <row r="572" spans="1:22" s="59" customFormat="1" outlineLevel="2" x14ac:dyDescent="0.25">
      <c r="A572" s="193">
        <v>3613</v>
      </c>
      <c r="B572" s="193">
        <v>5154</v>
      </c>
      <c r="C572" s="193">
        <v>2950</v>
      </c>
      <c r="D572" s="193">
        <v>13001</v>
      </c>
      <c r="E572" s="193">
        <v>0</v>
      </c>
      <c r="F572" s="194">
        <v>0</v>
      </c>
      <c r="G572" s="193">
        <v>0</v>
      </c>
      <c r="H572" s="193">
        <v>0</v>
      </c>
      <c r="I572" s="193">
        <v>0</v>
      </c>
      <c r="J572" s="321" t="str">
        <f t="shared" si="48"/>
        <v>3613/5154/2950/13001/0/0/0/0/0</v>
      </c>
      <c r="K572" s="321" t="s">
        <v>5081</v>
      </c>
      <c r="L572" s="201">
        <v>78028.52</v>
      </c>
      <c r="M572" s="201">
        <v>123288.15</v>
      </c>
      <c r="N572" s="201">
        <v>126280.2</v>
      </c>
      <c r="O572" s="201">
        <v>96360</v>
      </c>
      <c r="P572" s="201">
        <v>116160</v>
      </c>
      <c r="Q572" s="201">
        <v>176000</v>
      </c>
      <c r="R572" s="201">
        <v>191460</v>
      </c>
      <c r="S572" s="201">
        <v>195000</v>
      </c>
      <c r="T572" s="201"/>
      <c r="U572" s="403"/>
      <c r="V572" s="351"/>
    </row>
    <row r="573" spans="1:22" s="59" customFormat="1" outlineLevel="2" x14ac:dyDescent="0.25">
      <c r="A573" s="193">
        <v>3613</v>
      </c>
      <c r="B573" s="193">
        <v>5153</v>
      </c>
      <c r="C573" s="193">
        <v>2950</v>
      </c>
      <c r="D573" s="193">
        <v>13001</v>
      </c>
      <c r="E573" s="193">
        <v>0</v>
      </c>
      <c r="F573" s="194">
        <v>0</v>
      </c>
      <c r="G573" s="193">
        <v>0</v>
      </c>
      <c r="H573" s="193">
        <v>0</v>
      </c>
      <c r="I573" s="193">
        <v>0</v>
      </c>
      <c r="J573" s="321" t="str">
        <f t="shared" si="48"/>
        <v>3613/5153/2950/13001/0/0/0/0/0</v>
      </c>
      <c r="K573" s="321" t="s">
        <v>503</v>
      </c>
      <c r="L573" s="201">
        <v>247208.24</v>
      </c>
      <c r="M573" s="201">
        <v>204000</v>
      </c>
      <c r="N573" s="201">
        <v>174600</v>
      </c>
      <c r="O573" s="201">
        <v>153735.19</v>
      </c>
      <c r="P573" s="201">
        <v>161490.19</v>
      </c>
      <c r="Q573" s="201">
        <v>715000</v>
      </c>
      <c r="R573" s="201">
        <v>715000</v>
      </c>
      <c r="S573" s="201">
        <v>715000</v>
      </c>
      <c r="T573" s="201"/>
      <c r="U573" s="403"/>
      <c r="V573" s="351"/>
    </row>
    <row r="574" spans="1:22" s="59" customFormat="1" outlineLevel="2" x14ac:dyDescent="0.25">
      <c r="A574" s="193">
        <v>3613</v>
      </c>
      <c r="B574" s="193">
        <v>5151</v>
      </c>
      <c r="C574" s="193">
        <v>2950</v>
      </c>
      <c r="D574" s="193">
        <v>13001</v>
      </c>
      <c r="E574" s="193">
        <v>0</v>
      </c>
      <c r="F574" s="194">
        <v>0</v>
      </c>
      <c r="G574" s="193">
        <v>0</v>
      </c>
      <c r="H574" s="193">
        <v>0</v>
      </c>
      <c r="I574" s="193">
        <v>0</v>
      </c>
      <c r="J574" s="321" t="str">
        <f t="shared" si="48"/>
        <v>3613/5151/2950/13001/0/0/0/0/0</v>
      </c>
      <c r="K574" s="321" t="s">
        <v>504</v>
      </c>
      <c r="L574" s="201">
        <v>38266</v>
      </c>
      <c r="M574" s="201">
        <v>36733</v>
      </c>
      <c r="N574" s="201">
        <v>34710</v>
      </c>
      <c r="O574" s="201">
        <v>29116</v>
      </c>
      <c r="P574" s="201">
        <v>43934</v>
      </c>
      <c r="Q574" s="201">
        <v>50000</v>
      </c>
      <c r="R574" s="201">
        <v>50000</v>
      </c>
      <c r="S574" s="201">
        <v>55000</v>
      </c>
      <c r="T574" s="201"/>
      <c r="U574" s="403"/>
      <c r="V574" s="351"/>
    </row>
    <row r="575" spans="1:22" s="59" customFormat="1" outlineLevel="2" x14ac:dyDescent="0.25">
      <c r="A575" s="193">
        <v>6171</v>
      </c>
      <c r="B575" s="193">
        <v>5192</v>
      </c>
      <c r="C575" s="193">
        <v>2950</v>
      </c>
      <c r="D575" s="193">
        <v>0</v>
      </c>
      <c r="E575" s="193">
        <v>0</v>
      </c>
      <c r="F575" s="194">
        <v>0</v>
      </c>
      <c r="G575" s="193">
        <v>0</v>
      </c>
      <c r="H575" s="193">
        <v>0</v>
      </c>
      <c r="I575" s="193">
        <v>0</v>
      </c>
      <c r="J575" s="321" t="str">
        <f t="shared" ref="J575:J590" si="49">CONCATENATE(A575,"/",B575,"/",C575,"/",D575,"/",E575,"/",F575,"/",G575,"/",H575,"/",I575)</f>
        <v>6171/5192/2950/0/0/0/0/0/0</v>
      </c>
      <c r="K575" s="321" t="s">
        <v>505</v>
      </c>
      <c r="L575" s="201">
        <v>7000</v>
      </c>
      <c r="M575" s="201">
        <v>8000</v>
      </c>
      <c r="N575" s="201">
        <v>6000</v>
      </c>
      <c r="O575" s="201">
        <v>5698</v>
      </c>
      <c r="P575" s="201">
        <v>9000</v>
      </c>
      <c r="Q575" s="201">
        <v>20000</v>
      </c>
      <c r="R575" s="201">
        <v>20000</v>
      </c>
      <c r="S575" s="201">
        <v>50000</v>
      </c>
      <c r="T575" s="201"/>
      <c r="U575" s="403"/>
      <c r="V575" s="351"/>
    </row>
    <row r="576" spans="1:22" s="59" customFormat="1" outlineLevel="2" x14ac:dyDescent="0.25">
      <c r="A576" s="193">
        <v>3613</v>
      </c>
      <c r="B576" s="193">
        <v>5154</v>
      </c>
      <c r="C576" s="193">
        <v>2950</v>
      </c>
      <c r="D576" s="193">
        <v>13800</v>
      </c>
      <c r="E576" s="193">
        <v>0</v>
      </c>
      <c r="F576" s="194">
        <v>0</v>
      </c>
      <c r="G576" s="193">
        <v>0</v>
      </c>
      <c r="H576" s="193">
        <v>0</v>
      </c>
      <c r="I576" s="193">
        <v>0</v>
      </c>
      <c r="J576" s="321" t="str">
        <f t="shared" si="49"/>
        <v>3613/5154/2950/13800/0/0/0/0/0</v>
      </c>
      <c r="K576" s="321" t="s">
        <v>506</v>
      </c>
      <c r="L576" s="201">
        <v>147648.19</v>
      </c>
      <c r="M576" s="201">
        <v>203360</v>
      </c>
      <c r="N576" s="201">
        <v>223650</v>
      </c>
      <c r="O576" s="201">
        <v>203430</v>
      </c>
      <c r="P576" s="201">
        <v>288799.57</v>
      </c>
      <c r="Q576" s="201">
        <v>487000</v>
      </c>
      <c r="R576" s="201">
        <v>527920</v>
      </c>
      <c r="S576" s="201">
        <v>500000</v>
      </c>
      <c r="T576" s="201"/>
      <c r="U576" s="403"/>
      <c r="V576" s="351"/>
    </row>
    <row r="577" spans="1:22" s="59" customFormat="1" outlineLevel="2" x14ac:dyDescent="0.25">
      <c r="A577" s="193">
        <v>3613</v>
      </c>
      <c r="B577" s="193">
        <v>5164</v>
      </c>
      <c r="C577" s="193">
        <v>2950</v>
      </c>
      <c r="D577" s="193">
        <v>13800</v>
      </c>
      <c r="E577" s="193">
        <v>0</v>
      </c>
      <c r="F577" s="194">
        <v>0</v>
      </c>
      <c r="G577" s="193">
        <v>0</v>
      </c>
      <c r="H577" s="193">
        <v>0</v>
      </c>
      <c r="I577" s="193">
        <v>0</v>
      </c>
      <c r="J577" s="321" t="str">
        <f t="shared" si="49"/>
        <v>3613/5164/2950/13800/0/0/0/0/0</v>
      </c>
      <c r="K577" s="321" t="s">
        <v>507</v>
      </c>
      <c r="L577" s="201">
        <v>1440</v>
      </c>
      <c r="M577" s="201">
        <v>1440</v>
      </c>
      <c r="N577" s="201">
        <v>1440</v>
      </c>
      <c r="O577" s="201">
        <v>1440</v>
      </c>
      <c r="P577" s="201">
        <v>1440</v>
      </c>
      <c r="Q577" s="201">
        <v>1500</v>
      </c>
      <c r="R577" s="201">
        <v>1500</v>
      </c>
      <c r="S577" s="201">
        <v>1500</v>
      </c>
      <c r="T577" s="201"/>
      <c r="U577" s="403"/>
      <c r="V577" s="351"/>
    </row>
    <row r="578" spans="1:22" s="59" customFormat="1" outlineLevel="2" x14ac:dyDescent="0.25">
      <c r="A578" s="193">
        <v>3613</v>
      </c>
      <c r="B578" s="193">
        <v>5152</v>
      </c>
      <c r="C578" s="193">
        <v>2950</v>
      </c>
      <c r="D578" s="193">
        <v>13800</v>
      </c>
      <c r="E578" s="193">
        <v>0</v>
      </c>
      <c r="F578" s="194">
        <v>0</v>
      </c>
      <c r="G578" s="193">
        <v>0</v>
      </c>
      <c r="H578" s="193">
        <v>0</v>
      </c>
      <c r="I578" s="193">
        <v>0</v>
      </c>
      <c r="J578" s="321" t="str">
        <f t="shared" si="49"/>
        <v>3613/5152/2950/13800/0/0/0/0/0</v>
      </c>
      <c r="K578" s="321" t="s">
        <v>508</v>
      </c>
      <c r="L578" s="201">
        <v>293479</v>
      </c>
      <c r="M578" s="201">
        <v>652189</v>
      </c>
      <c r="N578" s="201">
        <v>660277</v>
      </c>
      <c r="O578" s="201">
        <v>719216</v>
      </c>
      <c r="P578" s="201">
        <v>644047</v>
      </c>
      <c r="Q578" s="201">
        <v>900000</v>
      </c>
      <c r="R578" s="201">
        <v>900000</v>
      </c>
      <c r="S578" s="201">
        <v>900000</v>
      </c>
      <c r="T578" s="201"/>
      <c r="U578" s="403"/>
      <c r="V578" s="351"/>
    </row>
    <row r="579" spans="1:22" s="59" customFormat="1" outlineLevel="2" x14ac:dyDescent="0.25">
      <c r="A579" s="193">
        <v>3613</v>
      </c>
      <c r="B579" s="193">
        <v>5151</v>
      </c>
      <c r="C579" s="193">
        <v>2950</v>
      </c>
      <c r="D579" s="193">
        <v>13800</v>
      </c>
      <c r="E579" s="193">
        <v>0</v>
      </c>
      <c r="F579" s="194">
        <v>0</v>
      </c>
      <c r="G579" s="193">
        <v>0</v>
      </c>
      <c r="H579" s="193">
        <v>0</v>
      </c>
      <c r="I579" s="193">
        <v>0</v>
      </c>
      <c r="J579" s="321" t="str">
        <f t="shared" si="49"/>
        <v>3613/5151/2950/13800/0/0/0/0/0</v>
      </c>
      <c r="K579" s="321" t="s">
        <v>509</v>
      </c>
      <c r="L579" s="201">
        <v>496785</v>
      </c>
      <c r="M579" s="201">
        <v>458153</v>
      </c>
      <c r="N579" s="201">
        <v>525451</v>
      </c>
      <c r="O579" s="201">
        <v>639837</v>
      </c>
      <c r="P579" s="201">
        <v>622117</v>
      </c>
      <c r="Q579" s="201">
        <v>670000</v>
      </c>
      <c r="R579" s="201">
        <v>920000</v>
      </c>
      <c r="S579" s="201">
        <v>920000</v>
      </c>
      <c r="T579" s="201"/>
      <c r="U579" s="403"/>
      <c r="V579" s="351"/>
    </row>
    <row r="580" spans="1:22" s="59" customFormat="1" outlineLevel="2" x14ac:dyDescent="0.25">
      <c r="A580" s="193">
        <v>3613</v>
      </c>
      <c r="B580" s="193">
        <v>5154</v>
      </c>
      <c r="C580" s="193">
        <v>2950</v>
      </c>
      <c r="D580" s="193">
        <v>11001</v>
      </c>
      <c r="E580" s="193">
        <v>0</v>
      </c>
      <c r="F580" s="194">
        <v>0</v>
      </c>
      <c r="G580" s="193">
        <v>0</v>
      </c>
      <c r="H580" s="193">
        <v>0</v>
      </c>
      <c r="I580" s="193">
        <v>0</v>
      </c>
      <c r="J580" s="321" t="str">
        <f t="shared" si="49"/>
        <v>3613/5154/2950/11001/0/0/0/0/0</v>
      </c>
      <c r="K580" s="321" t="s">
        <v>510</v>
      </c>
      <c r="L580" s="201">
        <v>42444.87</v>
      </c>
      <c r="M580" s="201">
        <v>81581.039999999994</v>
      </c>
      <c r="N580" s="201">
        <v>94154.3</v>
      </c>
      <c r="O580" s="201">
        <v>71848.5</v>
      </c>
      <c r="P580" s="201">
        <v>101670.33</v>
      </c>
      <c r="Q580" s="201">
        <v>130000</v>
      </c>
      <c r="R580" s="201">
        <v>143490</v>
      </c>
      <c r="S580" s="201">
        <v>180000</v>
      </c>
      <c r="T580" s="201"/>
      <c r="U580" s="403"/>
      <c r="V580" s="351"/>
    </row>
    <row r="581" spans="1:22" s="59" customFormat="1" outlineLevel="2" x14ac:dyDescent="0.25">
      <c r="A581" s="193">
        <v>3613</v>
      </c>
      <c r="B581" s="193">
        <v>5153</v>
      </c>
      <c r="C581" s="193">
        <v>2950</v>
      </c>
      <c r="D581" s="193">
        <v>11001</v>
      </c>
      <c r="E581" s="193">
        <v>0</v>
      </c>
      <c r="F581" s="194">
        <v>0</v>
      </c>
      <c r="G581" s="193">
        <v>0</v>
      </c>
      <c r="H581" s="193">
        <v>0</v>
      </c>
      <c r="I581" s="193">
        <v>0</v>
      </c>
      <c r="J581" s="321" t="str">
        <f t="shared" si="49"/>
        <v>3613/5153/2950/11001/0/0/0/0/0</v>
      </c>
      <c r="K581" s="321" t="s">
        <v>511</v>
      </c>
      <c r="L581" s="201">
        <v>128535.85</v>
      </c>
      <c r="M581" s="201">
        <v>120048.45</v>
      </c>
      <c r="N581" s="201">
        <v>119698.02</v>
      </c>
      <c r="O581" s="201">
        <v>113169.8</v>
      </c>
      <c r="P581" s="201">
        <v>119032.29</v>
      </c>
      <c r="Q581" s="201">
        <v>462000</v>
      </c>
      <c r="R581" s="201">
        <v>462000</v>
      </c>
      <c r="S581" s="201">
        <v>462000</v>
      </c>
      <c r="T581" s="201"/>
      <c r="U581" s="403"/>
      <c r="V581" s="351"/>
    </row>
    <row r="582" spans="1:22" s="59" customFormat="1" outlineLevel="2" x14ac:dyDescent="0.25">
      <c r="A582" s="193">
        <v>3613</v>
      </c>
      <c r="B582" s="193">
        <v>5151</v>
      </c>
      <c r="C582" s="193">
        <v>2950</v>
      </c>
      <c r="D582" s="193">
        <v>11001</v>
      </c>
      <c r="E582" s="193">
        <v>0</v>
      </c>
      <c r="F582" s="194">
        <v>0</v>
      </c>
      <c r="G582" s="193">
        <v>0</v>
      </c>
      <c r="H582" s="193">
        <v>0</v>
      </c>
      <c r="I582" s="193">
        <v>0</v>
      </c>
      <c r="J582" s="321" t="str">
        <f t="shared" si="49"/>
        <v>3613/5151/2950/11001/0/0/0/0/0</v>
      </c>
      <c r="K582" s="321" t="s">
        <v>512</v>
      </c>
      <c r="L582" s="201">
        <v>25268.07</v>
      </c>
      <c r="M582" s="201">
        <v>29742.78</v>
      </c>
      <c r="N582" s="201">
        <v>28887.8</v>
      </c>
      <c r="O582" s="201">
        <v>21415.55</v>
      </c>
      <c r="P582" s="201">
        <v>39555.050000000003</v>
      </c>
      <c r="Q582" s="201">
        <v>30000</v>
      </c>
      <c r="R582" s="201">
        <v>30000</v>
      </c>
      <c r="S582" s="201">
        <v>50000</v>
      </c>
      <c r="T582" s="201"/>
      <c r="U582" s="403"/>
      <c r="V582" s="351"/>
    </row>
    <row r="583" spans="1:22" s="59" customFormat="1" outlineLevel="2" x14ac:dyDescent="0.25">
      <c r="A583" s="193">
        <v>3613</v>
      </c>
      <c r="B583" s="193">
        <v>5154</v>
      </c>
      <c r="C583" s="193">
        <v>2950</v>
      </c>
      <c r="D583" s="193">
        <v>11630</v>
      </c>
      <c r="E583" s="193">
        <v>0</v>
      </c>
      <c r="F583" s="194">
        <v>0</v>
      </c>
      <c r="G583" s="193">
        <v>0</v>
      </c>
      <c r="H583" s="193">
        <v>0</v>
      </c>
      <c r="I583" s="193">
        <v>0</v>
      </c>
      <c r="J583" s="321" t="str">
        <f t="shared" si="49"/>
        <v>3613/5154/2950/11630/0/0/0/0/0</v>
      </c>
      <c r="K583" s="321" t="s">
        <v>513</v>
      </c>
      <c r="L583" s="201">
        <v>362218.78</v>
      </c>
      <c r="M583" s="201">
        <v>502077.17</v>
      </c>
      <c r="N583" s="201">
        <v>677112</v>
      </c>
      <c r="O583" s="201">
        <v>681946.7</v>
      </c>
      <c r="P583" s="201">
        <v>708333.42</v>
      </c>
      <c r="Q583" s="201">
        <v>1287000</v>
      </c>
      <c r="R583" s="201">
        <v>1287000</v>
      </c>
      <c r="S583" s="201">
        <v>1287000</v>
      </c>
      <c r="T583" s="201"/>
      <c r="U583" s="403"/>
      <c r="V583" s="351"/>
    </row>
    <row r="584" spans="1:22" s="59" customFormat="1" outlineLevel="2" x14ac:dyDescent="0.25">
      <c r="A584" s="193">
        <v>3613</v>
      </c>
      <c r="B584" s="193">
        <v>5153</v>
      </c>
      <c r="C584" s="193">
        <v>2950</v>
      </c>
      <c r="D584" s="193">
        <v>11630</v>
      </c>
      <c r="E584" s="193">
        <v>0</v>
      </c>
      <c r="F584" s="194">
        <v>0</v>
      </c>
      <c r="G584" s="193">
        <v>0</v>
      </c>
      <c r="H584" s="193">
        <v>0</v>
      </c>
      <c r="I584" s="193">
        <v>0</v>
      </c>
      <c r="J584" s="321" t="str">
        <f t="shared" si="49"/>
        <v>3613/5153/2950/11630/0/0/0/0/0</v>
      </c>
      <c r="K584" s="321" t="s">
        <v>514</v>
      </c>
      <c r="L584" s="201">
        <v>614878</v>
      </c>
      <c r="M584" s="201">
        <v>625552.88</v>
      </c>
      <c r="N584" s="201">
        <v>828537.17</v>
      </c>
      <c r="O584" s="201">
        <v>476866.17</v>
      </c>
      <c r="P584" s="201">
        <v>371785.86</v>
      </c>
      <c r="Q584" s="201">
        <v>2053000</v>
      </c>
      <c r="R584" s="201">
        <v>2053000</v>
      </c>
      <c r="S584" s="201">
        <v>2053000</v>
      </c>
      <c r="T584" s="201"/>
      <c r="U584" s="403"/>
      <c r="V584" s="351"/>
    </row>
    <row r="585" spans="1:22" s="59" customFormat="1" outlineLevel="2" x14ac:dyDescent="0.25">
      <c r="A585" s="193">
        <v>3613</v>
      </c>
      <c r="B585" s="193">
        <v>5151</v>
      </c>
      <c r="C585" s="193">
        <v>2950</v>
      </c>
      <c r="D585" s="193">
        <v>11630</v>
      </c>
      <c r="E585" s="193">
        <v>0</v>
      </c>
      <c r="F585" s="194">
        <v>0</v>
      </c>
      <c r="G585" s="193">
        <v>0</v>
      </c>
      <c r="H585" s="193">
        <v>0</v>
      </c>
      <c r="I585" s="193">
        <v>0</v>
      </c>
      <c r="J585" s="321" t="str">
        <f t="shared" si="49"/>
        <v>3613/5151/2950/11630/0/0/0/0/0</v>
      </c>
      <c r="K585" s="321" t="s">
        <v>515</v>
      </c>
      <c r="L585" s="201">
        <v>144311</v>
      </c>
      <c r="M585" s="201">
        <v>143948</v>
      </c>
      <c r="N585" s="201">
        <v>119867</v>
      </c>
      <c r="O585" s="201">
        <v>123911</v>
      </c>
      <c r="P585" s="201">
        <v>159249</v>
      </c>
      <c r="Q585" s="201">
        <v>150000</v>
      </c>
      <c r="R585" s="201">
        <v>150000</v>
      </c>
      <c r="S585" s="201">
        <v>210000</v>
      </c>
      <c r="T585" s="201"/>
      <c r="U585" s="403"/>
      <c r="V585" s="351"/>
    </row>
    <row r="586" spans="1:22" s="59" customFormat="1" outlineLevel="2" x14ac:dyDescent="0.25">
      <c r="A586" s="193">
        <v>3745</v>
      </c>
      <c r="B586" s="193">
        <v>5151</v>
      </c>
      <c r="C586" s="193">
        <v>2950</v>
      </c>
      <c r="D586" s="193">
        <v>20633</v>
      </c>
      <c r="E586" s="193">
        <v>0</v>
      </c>
      <c r="F586" s="194">
        <v>0</v>
      </c>
      <c r="G586" s="193">
        <v>0</v>
      </c>
      <c r="H586" s="193">
        <v>0</v>
      </c>
      <c r="I586" s="193">
        <v>0</v>
      </c>
      <c r="J586" s="321" t="str">
        <f t="shared" si="49"/>
        <v>3745/5151/2950/20633/0/0/0/0/0</v>
      </c>
      <c r="K586" s="321" t="s">
        <v>516</v>
      </c>
      <c r="L586" s="201">
        <v>153908</v>
      </c>
      <c r="M586" s="201">
        <v>73670</v>
      </c>
      <c r="N586" s="201">
        <v>64102</v>
      </c>
      <c r="O586" s="201">
        <v>121167</v>
      </c>
      <c r="P586" s="201">
        <v>128237</v>
      </c>
      <c r="Q586" s="201">
        <v>130000</v>
      </c>
      <c r="R586" s="201">
        <v>130000</v>
      </c>
      <c r="S586" s="201">
        <v>130000</v>
      </c>
      <c r="T586" s="201"/>
      <c r="U586" s="403"/>
      <c r="V586" s="351"/>
    </row>
    <row r="587" spans="1:22" s="59" customFormat="1" outlineLevel="2" x14ac:dyDescent="0.25">
      <c r="A587" s="193">
        <v>3412</v>
      </c>
      <c r="B587" s="193">
        <v>5154</v>
      </c>
      <c r="C587" s="193">
        <v>2950</v>
      </c>
      <c r="D587" s="193">
        <v>16420</v>
      </c>
      <c r="E587" s="193">
        <v>0</v>
      </c>
      <c r="F587" s="194">
        <v>0</v>
      </c>
      <c r="G587" s="193">
        <v>0</v>
      </c>
      <c r="H587" s="193">
        <v>0</v>
      </c>
      <c r="I587" s="193">
        <v>0</v>
      </c>
      <c r="J587" s="321" t="str">
        <f t="shared" si="49"/>
        <v>3412/5154/2950/16420/0/0/0/0/0</v>
      </c>
      <c r="K587" s="321" t="s">
        <v>517</v>
      </c>
      <c r="L587" s="201">
        <v>757475.31</v>
      </c>
      <c r="M587" s="201">
        <v>918858.69</v>
      </c>
      <c r="N587" s="201">
        <v>993460.98</v>
      </c>
      <c r="O587" s="201">
        <v>852503</v>
      </c>
      <c r="P587" s="201">
        <v>1221188</v>
      </c>
      <c r="Q587" s="201">
        <v>2400000</v>
      </c>
      <c r="R587" s="201">
        <v>2400000</v>
      </c>
      <c r="S587" s="201">
        <v>2400000</v>
      </c>
      <c r="T587" s="201"/>
      <c r="U587" s="403"/>
      <c r="V587" s="351"/>
    </row>
    <row r="588" spans="1:22" s="59" customFormat="1" outlineLevel="2" x14ac:dyDescent="0.25">
      <c r="A588" s="193">
        <v>3412</v>
      </c>
      <c r="B588" s="193">
        <v>5153</v>
      </c>
      <c r="C588" s="193">
        <v>2950</v>
      </c>
      <c r="D588" s="193">
        <v>16420</v>
      </c>
      <c r="E588" s="193">
        <v>0</v>
      </c>
      <c r="F588" s="194">
        <v>0</v>
      </c>
      <c r="G588" s="193">
        <v>0</v>
      </c>
      <c r="H588" s="193">
        <v>0</v>
      </c>
      <c r="I588" s="193">
        <v>0</v>
      </c>
      <c r="J588" s="321" t="str">
        <f t="shared" si="49"/>
        <v>3412/5153/2950/16420/0/0/0/0/0</v>
      </c>
      <c r="K588" s="321" t="s">
        <v>518</v>
      </c>
      <c r="L588" s="201">
        <v>405626.83</v>
      </c>
      <c r="M588" s="201">
        <v>338594.72</v>
      </c>
      <c r="N588" s="201">
        <v>287127.24</v>
      </c>
      <c r="O588" s="201">
        <v>259173.32</v>
      </c>
      <c r="P588" s="201">
        <v>288561.74</v>
      </c>
      <c r="Q588" s="201">
        <v>1200000</v>
      </c>
      <c r="R588" s="201">
        <v>1200000</v>
      </c>
      <c r="S588" s="201">
        <v>1200000</v>
      </c>
      <c r="T588" s="201"/>
      <c r="U588" s="403"/>
      <c r="V588" s="351"/>
    </row>
    <row r="589" spans="1:22" s="59" customFormat="1" outlineLevel="2" x14ac:dyDescent="0.25">
      <c r="A589" s="193">
        <v>3412</v>
      </c>
      <c r="B589" s="193">
        <v>5151</v>
      </c>
      <c r="C589" s="193">
        <v>2950</v>
      </c>
      <c r="D589" s="193">
        <v>16420</v>
      </c>
      <c r="E589" s="193">
        <v>0</v>
      </c>
      <c r="F589" s="194">
        <v>0</v>
      </c>
      <c r="G589" s="193">
        <v>0</v>
      </c>
      <c r="H589" s="193">
        <v>0</v>
      </c>
      <c r="I589" s="193">
        <v>0</v>
      </c>
      <c r="J589" s="321" t="str">
        <f t="shared" si="49"/>
        <v>3412/5151/2950/16420/0/0/0/0/0</v>
      </c>
      <c r="K589" s="321" t="s">
        <v>519</v>
      </c>
      <c r="L589" s="201">
        <v>32943</v>
      </c>
      <c r="M589" s="201">
        <v>29486</v>
      </c>
      <c r="N589" s="201">
        <v>19405</v>
      </c>
      <c r="O589" s="201">
        <v>27285</v>
      </c>
      <c r="P589" s="201">
        <v>46165</v>
      </c>
      <c r="Q589" s="201">
        <v>50000</v>
      </c>
      <c r="R589" s="201">
        <v>50000</v>
      </c>
      <c r="S589" s="201">
        <v>50000</v>
      </c>
      <c r="T589" s="201"/>
      <c r="U589" s="403"/>
      <c r="V589" s="351"/>
    </row>
    <row r="590" spans="1:22" s="59" customFormat="1" outlineLevel="2" x14ac:dyDescent="0.25">
      <c r="A590" s="193">
        <v>0</v>
      </c>
      <c r="B590" s="193">
        <v>5000</v>
      </c>
      <c r="C590" s="193">
        <v>2950</v>
      </c>
      <c r="D590" s="193">
        <v>0</v>
      </c>
      <c r="E590" s="193">
        <v>0</v>
      </c>
      <c r="F590" s="194">
        <v>0</v>
      </c>
      <c r="G590" s="193">
        <v>0</v>
      </c>
      <c r="H590" s="193">
        <v>0</v>
      </c>
      <c r="I590" s="193">
        <v>0</v>
      </c>
      <c r="J590" s="321" t="str">
        <f t="shared" si="49"/>
        <v>0/5000/2950/0/0/0/0/0/0</v>
      </c>
      <c r="K590" s="321" t="s">
        <v>3728</v>
      </c>
      <c r="L590" s="201">
        <v>349046</v>
      </c>
      <c r="M590" s="201">
        <v>67662.39</v>
      </c>
      <c r="N590" s="201"/>
      <c r="O590" s="201"/>
      <c r="P590" s="201"/>
      <c r="Q590" s="201"/>
      <c r="R590" s="201"/>
      <c r="S590" s="201"/>
      <c r="T590" s="201"/>
      <c r="U590" s="403"/>
      <c r="V590" s="351"/>
    </row>
    <row r="591" spans="1:22" s="59" customFormat="1" outlineLevel="1" x14ac:dyDescent="0.25">
      <c r="A591" s="491"/>
      <c r="B591" s="491"/>
      <c r="C591" s="499" t="s">
        <v>4680</v>
      </c>
      <c r="D591" s="491"/>
      <c r="E591" s="491"/>
      <c r="F591" s="492"/>
      <c r="G591" s="491"/>
      <c r="H591" s="491"/>
      <c r="I591" s="491"/>
      <c r="J591" s="493">
        <v>2950</v>
      </c>
      <c r="K591" s="493" t="str">
        <f>VLOOKUP(J591,orJ_správce_telefon_mail!A:B,2,0)</f>
        <v>Odbor správy majetku - Ing. Maternová - Oddělení správy nemovitostí - Bc. Gregorová</v>
      </c>
      <c r="L591" s="494">
        <f t="shared" ref="L591:T591" si="50">SUBTOTAL(9,L493:L590)</f>
        <v>22555574.860000003</v>
      </c>
      <c r="M591" s="494">
        <f t="shared" si="50"/>
        <v>25418562.809999999</v>
      </c>
      <c r="N591" s="494">
        <f t="shared" si="50"/>
        <v>25932512.309999999</v>
      </c>
      <c r="O591" s="494">
        <f t="shared" si="50"/>
        <v>26383209.620000005</v>
      </c>
      <c r="P591" s="494">
        <f t="shared" si="50"/>
        <v>28565664.719999999</v>
      </c>
      <c r="Q591" s="494">
        <f t="shared" si="50"/>
        <v>45750830</v>
      </c>
      <c r="R591" s="494">
        <f t="shared" si="50"/>
        <v>45750830</v>
      </c>
      <c r="S591" s="494">
        <f t="shared" si="50"/>
        <v>51023218</v>
      </c>
      <c r="T591" s="494">
        <f t="shared" si="50"/>
        <v>0</v>
      </c>
      <c r="U591" s="541"/>
      <c r="V591" s="351"/>
    </row>
    <row r="592" spans="1:22" s="59" customFormat="1" outlineLevel="2" x14ac:dyDescent="0.25">
      <c r="A592" s="193">
        <v>3612</v>
      </c>
      <c r="B592" s="442">
        <v>5139</v>
      </c>
      <c r="C592" s="193">
        <v>2956</v>
      </c>
      <c r="D592" s="193">
        <v>0</v>
      </c>
      <c r="E592" s="193">
        <v>0</v>
      </c>
      <c r="F592" s="194">
        <v>0</v>
      </c>
      <c r="G592" s="193">
        <v>0</v>
      </c>
      <c r="H592" s="193">
        <v>0</v>
      </c>
      <c r="I592" s="193">
        <v>0</v>
      </c>
      <c r="J592" s="321" t="str">
        <f>CONCATENATE(A592,"/",B592,"/",C592,"/",D592,"/",E592,"/",F592,"/",G592,"/",H592,"/",I592)</f>
        <v>3612/5139/2956/0/0/0/0/0/0</v>
      </c>
      <c r="K592" s="321" t="s">
        <v>520</v>
      </c>
      <c r="L592" s="201">
        <f>2753+249</f>
        <v>3002</v>
      </c>
      <c r="M592" s="201">
        <f>6066+100</f>
        <v>6166</v>
      </c>
      <c r="N592" s="201">
        <v>1177</v>
      </c>
      <c r="O592" s="201">
        <v>11822.5</v>
      </c>
      <c r="P592" s="201">
        <v>5329</v>
      </c>
      <c r="Q592" s="201">
        <v>2500</v>
      </c>
      <c r="R592" s="201">
        <v>5500</v>
      </c>
      <c r="S592" s="201">
        <v>4000</v>
      </c>
      <c r="T592" s="201"/>
      <c r="U592" s="403"/>
      <c r="V592" s="351"/>
    </row>
    <row r="593" spans="1:22" s="59" customFormat="1" outlineLevel="2" x14ac:dyDescent="0.25">
      <c r="A593" s="193">
        <v>3612</v>
      </c>
      <c r="B593" s="442">
        <v>5171</v>
      </c>
      <c r="C593" s="193">
        <v>2956</v>
      </c>
      <c r="D593" s="193">
        <v>0</v>
      </c>
      <c r="E593" s="193">
        <v>0</v>
      </c>
      <c r="F593" s="194">
        <v>0</v>
      </c>
      <c r="G593" s="193">
        <v>0</v>
      </c>
      <c r="H593" s="193">
        <v>0</v>
      </c>
      <c r="I593" s="193">
        <v>0</v>
      </c>
      <c r="J593" s="321" t="str">
        <f>CONCATENATE(A593,"/",B593,"/",C593,"/",D593,"/",E593,"/",F593,"/",G593,"/",H593,"/",I593)</f>
        <v>3612/5171/2956/0/0/0/0/0/0</v>
      </c>
      <c r="K593" s="321" t="s">
        <v>521</v>
      </c>
      <c r="L593" s="201">
        <v>2583227.5700000003</v>
      </c>
      <c r="M593" s="201">
        <v>3999567.94</v>
      </c>
      <c r="N593" s="201">
        <v>2875667.99</v>
      </c>
      <c r="O593" s="201">
        <v>2412820.9</v>
      </c>
      <c r="P593" s="201">
        <v>2478281.0299999998</v>
      </c>
      <c r="Q593" s="201">
        <v>1191000</v>
      </c>
      <c r="R593" s="201">
        <v>1988718.5</v>
      </c>
      <c r="S593" s="201">
        <f>340000+1660000</f>
        <v>2000000</v>
      </c>
      <c r="T593" s="201"/>
      <c r="U593" s="403"/>
      <c r="V593" s="351"/>
    </row>
    <row r="594" spans="1:22" s="59" customFormat="1" outlineLevel="2" x14ac:dyDescent="0.25">
      <c r="A594" s="193">
        <v>3612</v>
      </c>
      <c r="B594" s="442">
        <v>5169</v>
      </c>
      <c r="C594" s="193">
        <v>2956</v>
      </c>
      <c r="D594" s="193">
        <v>0</v>
      </c>
      <c r="E594" s="193">
        <v>0</v>
      </c>
      <c r="F594" s="194">
        <v>0</v>
      </c>
      <c r="G594" s="193">
        <v>0</v>
      </c>
      <c r="H594" s="193">
        <v>0</v>
      </c>
      <c r="I594" s="193">
        <v>0</v>
      </c>
      <c r="J594" s="321" t="str">
        <f>CONCATENATE(A594,"/",B594,"/",C594,"/",D594,"/",E594,"/",F594,"/",G594,"/",H594,"/",I594)</f>
        <v>3612/5169/2956/0/0/0/0/0/0</v>
      </c>
      <c r="K594" s="321" t="s">
        <v>522</v>
      </c>
      <c r="L594" s="201">
        <v>701416.32</v>
      </c>
      <c r="M594" s="201">
        <v>628252.24</v>
      </c>
      <c r="N594" s="201">
        <v>695520.96</v>
      </c>
      <c r="O594" s="201">
        <v>812271.37</v>
      </c>
      <c r="P594" s="201">
        <v>632563.98</v>
      </c>
      <c r="Q594" s="201">
        <v>800000</v>
      </c>
      <c r="R594" s="201">
        <v>733450</v>
      </c>
      <c r="S594" s="201">
        <v>900000</v>
      </c>
      <c r="T594" s="201"/>
      <c r="U594" s="403"/>
      <c r="V594" s="351"/>
    </row>
    <row r="595" spans="1:22" s="59" customFormat="1" outlineLevel="2" x14ac:dyDescent="0.25">
      <c r="A595" s="194">
        <v>3612</v>
      </c>
      <c r="B595" s="442">
        <v>5166</v>
      </c>
      <c r="C595" s="194">
        <v>2956</v>
      </c>
      <c r="D595" s="194">
        <v>0</v>
      </c>
      <c r="E595" s="194">
        <v>0</v>
      </c>
      <c r="F595" s="194">
        <v>0</v>
      </c>
      <c r="G595" s="194">
        <v>0</v>
      </c>
      <c r="H595" s="194">
        <v>0</v>
      </c>
      <c r="I595" s="194">
        <v>0</v>
      </c>
      <c r="J595" s="320" t="str">
        <f>CONCATENATE(A595,"/",B595,"/",C595,"/",D595,"/",E595,"/",F595,"/",G595,"/",H595,"/",I595)</f>
        <v>3612/5166/2956/0/0/0/0/0/0</v>
      </c>
      <c r="K595" s="320" t="s">
        <v>523</v>
      </c>
      <c r="L595" s="201"/>
      <c r="M595" s="201"/>
      <c r="N595" s="201">
        <v>19900</v>
      </c>
      <c r="O595" s="201"/>
      <c r="P595" s="201"/>
      <c r="Q595" s="201">
        <v>5000</v>
      </c>
      <c r="R595" s="201">
        <v>5000</v>
      </c>
      <c r="S595" s="201">
        <v>1000</v>
      </c>
      <c r="T595" s="201"/>
      <c r="U595" s="403"/>
      <c r="V595" s="351"/>
    </row>
    <row r="596" spans="1:22" s="59" customFormat="1" outlineLevel="2" x14ac:dyDescent="0.25">
      <c r="A596" s="194">
        <v>3612</v>
      </c>
      <c r="B596" s="442">
        <v>5162</v>
      </c>
      <c r="C596" s="194">
        <v>2956</v>
      </c>
      <c r="D596" s="194">
        <v>0</v>
      </c>
      <c r="E596" s="194">
        <v>0</v>
      </c>
      <c r="F596" s="194">
        <v>0</v>
      </c>
      <c r="G596" s="194">
        <v>0</v>
      </c>
      <c r="H596" s="194">
        <v>0</v>
      </c>
      <c r="I596" s="194">
        <v>0</v>
      </c>
      <c r="J596" s="320" t="str">
        <f>CONCATENATE(A596,"/",B596,"/",C596,"/",D596,"/",E596,"/",F596,"/",G596,"/",H596,"/",I596)</f>
        <v>3612/5162/2956/0/0/0/0/0/0</v>
      </c>
      <c r="K596" s="320" t="s">
        <v>524</v>
      </c>
      <c r="L596" s="201">
        <v>1280.43</v>
      </c>
      <c r="M596" s="201">
        <v>1142.54</v>
      </c>
      <c r="N596" s="201">
        <v>1322.62</v>
      </c>
      <c r="O596" s="201">
        <v>1374.66</v>
      </c>
      <c r="P596" s="201">
        <v>4919.82</v>
      </c>
      <c r="Q596" s="201">
        <v>2000</v>
      </c>
      <c r="R596" s="201">
        <v>2000</v>
      </c>
      <c r="S596" s="201">
        <v>2000</v>
      </c>
      <c r="T596" s="201"/>
      <c r="U596" s="403"/>
      <c r="V596" s="351"/>
    </row>
    <row r="597" spans="1:22" s="59" customFormat="1" outlineLevel="2" x14ac:dyDescent="0.25">
      <c r="A597" s="193">
        <v>3612</v>
      </c>
      <c r="B597" s="193">
        <v>5171</v>
      </c>
      <c r="C597" s="193">
        <v>2956</v>
      </c>
      <c r="D597" s="193">
        <v>0</v>
      </c>
      <c r="E597" s="193">
        <v>0</v>
      </c>
      <c r="F597" s="194">
        <v>0</v>
      </c>
      <c r="G597" s="193">
        <v>0</v>
      </c>
      <c r="H597" s="193">
        <v>1</v>
      </c>
      <c r="I597" s="193">
        <v>0</v>
      </c>
      <c r="J597" s="321" t="s">
        <v>4990</v>
      </c>
      <c r="K597" s="321" t="s">
        <v>4939</v>
      </c>
      <c r="L597" s="201"/>
      <c r="M597" s="201"/>
      <c r="N597" s="201"/>
      <c r="O597" s="201"/>
      <c r="P597" s="201"/>
      <c r="Q597" s="201"/>
      <c r="R597" s="201"/>
      <c r="S597" s="201">
        <v>0</v>
      </c>
      <c r="T597" s="201">
        <v>4300000</v>
      </c>
      <c r="U597" s="403" t="s">
        <v>4940</v>
      </c>
      <c r="V597" s="351"/>
    </row>
    <row r="598" spans="1:22" s="59" customFormat="1" outlineLevel="2" x14ac:dyDescent="0.25">
      <c r="A598" s="187">
        <v>3613</v>
      </c>
      <c r="B598" s="187">
        <v>5139</v>
      </c>
      <c r="C598" s="187">
        <v>2956</v>
      </c>
      <c r="D598" s="187">
        <v>15001</v>
      </c>
      <c r="E598" s="187">
        <v>0</v>
      </c>
      <c r="F598" s="187">
        <v>0</v>
      </c>
      <c r="G598" s="187">
        <v>0</v>
      </c>
      <c r="H598" s="187">
        <v>0</v>
      </c>
      <c r="I598" s="187">
        <v>0</v>
      </c>
      <c r="J598" s="327" t="str">
        <f>CONCATENATE(A598,"/",B598,"/",C598,"/",D598,"/",E598,"/",F598,"/",G598,"/",H598,"/",I598)</f>
        <v>3613/5139/2956/15001/0/0/0/0/0</v>
      </c>
      <c r="K598" s="327" t="s">
        <v>3756</v>
      </c>
      <c r="L598" s="200"/>
      <c r="M598" s="200"/>
      <c r="N598" s="200"/>
      <c r="O598" s="200">
        <v>210</v>
      </c>
      <c r="P598" s="200">
        <v>1673</v>
      </c>
      <c r="Q598" s="200">
        <v>1000</v>
      </c>
      <c r="R598" s="200">
        <v>1000</v>
      </c>
      <c r="S598" s="201">
        <v>1000</v>
      </c>
      <c r="T598" s="201"/>
      <c r="U598" s="403"/>
      <c r="V598" s="351"/>
    </row>
    <row r="599" spans="1:22" s="59" customFormat="1" outlineLevel="2" x14ac:dyDescent="0.25">
      <c r="A599" s="194">
        <v>3613</v>
      </c>
      <c r="B599" s="194">
        <v>5169</v>
      </c>
      <c r="C599" s="194">
        <v>2956</v>
      </c>
      <c r="D599" s="194">
        <v>15001</v>
      </c>
      <c r="E599" s="194">
        <v>0</v>
      </c>
      <c r="F599" s="194">
        <v>0</v>
      </c>
      <c r="G599" s="194">
        <v>0</v>
      </c>
      <c r="H599" s="194">
        <v>0</v>
      </c>
      <c r="I599" s="194">
        <v>0</v>
      </c>
      <c r="J599" s="320" t="str">
        <f>CONCATENATE(A599,"/",B599,"/",C599,"/",D599,"/",E599,"/",F599,"/",G599,"/",H599,"/",I599)</f>
        <v>3613/5169/2956/15001/0/0/0/0/0</v>
      </c>
      <c r="K599" s="320" t="s">
        <v>525</v>
      </c>
      <c r="L599" s="201">
        <f>216132+42640</f>
        <v>258772</v>
      </c>
      <c r="M599" s="201">
        <v>70126.960000000006</v>
      </c>
      <c r="N599" s="201">
        <v>38581.4</v>
      </c>
      <c r="O599" s="201">
        <v>65379.8</v>
      </c>
      <c r="P599" s="201">
        <v>126694.51</v>
      </c>
      <c r="Q599" s="201">
        <v>75000</v>
      </c>
      <c r="R599" s="201">
        <v>75000</v>
      </c>
      <c r="S599" s="201">
        <v>90000</v>
      </c>
      <c r="T599" s="201"/>
      <c r="U599" s="403"/>
      <c r="V599" s="351"/>
    </row>
    <row r="600" spans="1:22" s="59" customFormat="1" outlineLevel="2" x14ac:dyDescent="0.25">
      <c r="A600" s="193">
        <v>3613</v>
      </c>
      <c r="B600" s="193">
        <v>5164</v>
      </c>
      <c r="C600" s="193">
        <v>2956</v>
      </c>
      <c r="D600" s="193">
        <v>15001</v>
      </c>
      <c r="E600" s="193">
        <v>0</v>
      </c>
      <c r="F600" s="269">
        <v>0</v>
      </c>
      <c r="G600" s="269">
        <v>0</v>
      </c>
      <c r="H600" s="269">
        <v>0</v>
      </c>
      <c r="I600" s="269">
        <v>0</v>
      </c>
      <c r="J600" s="290" t="str">
        <f>CONCATENATE(A600,"/",B600,"/",C600,"/",D600,"/",E600,"/",F600,"/",G600,"/",H600,"/",I600)</f>
        <v>3613/5164/2956/15001/0/0/0/0/0</v>
      </c>
      <c r="K600" s="290" t="s">
        <v>4417</v>
      </c>
      <c r="L600" s="63"/>
      <c r="M600" s="63"/>
      <c r="N600" s="63"/>
      <c r="O600" s="63"/>
      <c r="P600" s="63">
        <v>9075</v>
      </c>
      <c r="Q600" s="63">
        <v>9100</v>
      </c>
      <c r="R600" s="63">
        <v>9100</v>
      </c>
      <c r="S600" s="201">
        <v>9100</v>
      </c>
      <c r="T600" s="201"/>
      <c r="U600" s="403"/>
      <c r="V600" s="351"/>
    </row>
    <row r="601" spans="1:22" s="59" customFormat="1" outlineLevel="2" x14ac:dyDescent="0.25">
      <c r="A601" s="187">
        <v>3613</v>
      </c>
      <c r="B601" s="187">
        <v>5192</v>
      </c>
      <c r="C601" s="187">
        <v>2956</v>
      </c>
      <c r="D601" s="187">
        <v>0</v>
      </c>
      <c r="E601" s="187">
        <v>0</v>
      </c>
      <c r="F601" s="187">
        <v>0</v>
      </c>
      <c r="G601" s="187">
        <v>0</v>
      </c>
      <c r="H601" s="187">
        <v>0</v>
      </c>
      <c r="I601" s="187">
        <v>0</v>
      </c>
      <c r="J601" s="327" t="str">
        <f>CONCATENATE(A601,"/",B601,"/",C601,"/",D601,"/",E601,"/",F601,"/",G601,"/",H601,"/",I601)</f>
        <v>3613/5192/2956/0/0/0/0/0/0</v>
      </c>
      <c r="K601" s="327" t="s">
        <v>3757</v>
      </c>
      <c r="L601" s="200"/>
      <c r="M601" s="200"/>
      <c r="N601" s="200"/>
      <c r="O601" s="200">
        <v>17500</v>
      </c>
      <c r="P601" s="200">
        <v>1500</v>
      </c>
      <c r="Q601" s="200"/>
      <c r="R601" s="200">
        <f>78750+30000</f>
        <v>108750</v>
      </c>
      <c r="S601" s="201"/>
      <c r="T601" s="201"/>
      <c r="U601" s="403"/>
      <c r="V601" s="351"/>
    </row>
    <row r="602" spans="1:22" s="59" customFormat="1" outlineLevel="2" x14ac:dyDescent="0.25">
      <c r="A602" s="193">
        <v>3322</v>
      </c>
      <c r="B602" s="193">
        <v>5137</v>
      </c>
      <c r="C602" s="193">
        <v>2956</v>
      </c>
      <c r="D602" s="193">
        <v>11003</v>
      </c>
      <c r="E602" s="193">
        <v>0</v>
      </c>
      <c r="F602" s="194">
        <v>0</v>
      </c>
      <c r="G602" s="193">
        <v>0</v>
      </c>
      <c r="H602" s="193">
        <v>0</v>
      </c>
      <c r="I602" s="193">
        <v>0</v>
      </c>
      <c r="J602" s="321" t="s">
        <v>4983</v>
      </c>
      <c r="K602" s="321" t="s">
        <v>4713</v>
      </c>
      <c r="L602" s="201"/>
      <c r="M602" s="201"/>
      <c r="N602" s="201"/>
      <c r="O602" s="201"/>
      <c r="P602" s="201"/>
      <c r="Q602" s="201"/>
      <c r="R602" s="201"/>
      <c r="S602" s="201">
        <v>5000</v>
      </c>
      <c r="T602" s="201"/>
      <c r="U602" s="403"/>
      <c r="V602" s="351"/>
    </row>
    <row r="603" spans="1:22" s="59" customFormat="1" outlineLevel="2" x14ac:dyDescent="0.25">
      <c r="A603" s="193">
        <v>3322</v>
      </c>
      <c r="B603" s="193">
        <v>5172</v>
      </c>
      <c r="C603" s="193">
        <v>2956</v>
      </c>
      <c r="D603" s="193">
        <v>11003</v>
      </c>
      <c r="E603" s="193">
        <v>0</v>
      </c>
      <c r="F603" s="194">
        <v>0</v>
      </c>
      <c r="G603" s="193">
        <v>0</v>
      </c>
      <c r="H603" s="193">
        <v>0</v>
      </c>
      <c r="I603" s="193">
        <v>0</v>
      </c>
      <c r="J603" s="321" t="str">
        <f t="shared" ref="J603:J613" si="51">CONCATENATE(A603,"/",B603,"/",C603,"/",D603,"/",E603,"/",F603,"/",G603,"/",H603,"/",I603)</f>
        <v>3322/5172/2956/11003/0/0/0/0/0</v>
      </c>
      <c r="K603" s="321" t="s">
        <v>526</v>
      </c>
      <c r="L603" s="201"/>
      <c r="M603" s="201">
        <v>5592</v>
      </c>
      <c r="N603" s="201"/>
      <c r="O603" s="201"/>
      <c r="P603" s="201"/>
      <c r="Q603" s="201">
        <v>5700</v>
      </c>
      <c r="R603" s="201">
        <v>5700</v>
      </c>
      <c r="S603" s="201">
        <v>5700</v>
      </c>
      <c r="T603" s="201"/>
      <c r="U603" s="403"/>
      <c r="V603" s="351"/>
    </row>
    <row r="604" spans="1:22" s="59" customFormat="1" outlineLevel="2" x14ac:dyDescent="0.25">
      <c r="A604" s="193">
        <v>3322</v>
      </c>
      <c r="B604" s="193">
        <v>5139</v>
      </c>
      <c r="C604" s="193">
        <v>2956</v>
      </c>
      <c r="D604" s="193">
        <v>11003</v>
      </c>
      <c r="E604" s="193">
        <v>0</v>
      </c>
      <c r="F604" s="194">
        <v>0</v>
      </c>
      <c r="G604" s="193">
        <v>0</v>
      </c>
      <c r="H604" s="193">
        <v>0</v>
      </c>
      <c r="I604" s="193">
        <v>0</v>
      </c>
      <c r="J604" s="321" t="str">
        <f t="shared" si="51"/>
        <v>3322/5139/2956/11003/0/0/0/0/0</v>
      </c>
      <c r="K604" s="321" t="s">
        <v>527</v>
      </c>
      <c r="L604" s="201">
        <v>0</v>
      </c>
      <c r="M604" s="201"/>
      <c r="N604" s="201">
        <v>225</v>
      </c>
      <c r="O604" s="201">
        <v>143</v>
      </c>
      <c r="P604" s="201">
        <v>363</v>
      </c>
      <c r="Q604" s="201">
        <v>500</v>
      </c>
      <c r="R604" s="201">
        <v>2100</v>
      </c>
      <c r="S604" s="201">
        <v>500</v>
      </c>
      <c r="T604" s="201"/>
      <c r="U604" s="403"/>
      <c r="V604" s="351"/>
    </row>
    <row r="605" spans="1:22" s="59" customFormat="1" outlineLevel="2" x14ac:dyDescent="0.25">
      <c r="A605" s="193">
        <v>3322</v>
      </c>
      <c r="B605" s="193">
        <v>5171</v>
      </c>
      <c r="C605" s="193">
        <v>2956</v>
      </c>
      <c r="D605" s="193">
        <v>11003</v>
      </c>
      <c r="E605" s="193">
        <v>0</v>
      </c>
      <c r="F605" s="194">
        <v>0</v>
      </c>
      <c r="G605" s="193">
        <v>0</v>
      </c>
      <c r="H605" s="193">
        <v>0</v>
      </c>
      <c r="I605" s="193">
        <v>0</v>
      </c>
      <c r="J605" s="321" t="str">
        <f t="shared" si="51"/>
        <v>3322/5171/2956/11003/0/0/0/0/0</v>
      </c>
      <c r="K605" s="321" t="s">
        <v>528</v>
      </c>
      <c r="L605" s="201">
        <v>54978.38</v>
      </c>
      <c r="M605" s="201">
        <v>148033.68</v>
      </c>
      <c r="N605" s="201">
        <v>118482.45</v>
      </c>
      <c r="O605" s="201">
        <v>140383.51999999999</v>
      </c>
      <c r="P605" s="201">
        <v>102268.35</v>
      </c>
      <c r="Q605" s="201">
        <v>30000</v>
      </c>
      <c r="R605" s="201">
        <v>142400</v>
      </c>
      <c r="S605" s="201">
        <v>50000</v>
      </c>
      <c r="T605" s="201"/>
      <c r="U605" s="403"/>
      <c r="V605" s="351"/>
    </row>
    <row r="606" spans="1:22" s="59" customFormat="1" outlineLevel="2" x14ac:dyDescent="0.25">
      <c r="A606" s="193">
        <v>3322</v>
      </c>
      <c r="B606" s="193">
        <v>5164</v>
      </c>
      <c r="C606" s="193">
        <v>2956</v>
      </c>
      <c r="D606" s="193">
        <v>11003</v>
      </c>
      <c r="E606" s="193">
        <v>0</v>
      </c>
      <c r="F606" s="269">
        <v>0</v>
      </c>
      <c r="G606" s="269">
        <v>0</v>
      </c>
      <c r="H606" s="269">
        <v>0</v>
      </c>
      <c r="I606" s="269">
        <v>0</v>
      </c>
      <c r="J606" s="290" t="str">
        <f t="shared" si="51"/>
        <v>3322/5164/2956/11003/0/0/0/0/0</v>
      </c>
      <c r="K606" s="290" t="s">
        <v>4414</v>
      </c>
      <c r="L606" s="63"/>
      <c r="M606" s="63"/>
      <c r="N606" s="63"/>
      <c r="O606" s="63"/>
      <c r="P606" s="63">
        <v>193.6</v>
      </c>
      <c r="Q606" s="63">
        <v>200</v>
      </c>
      <c r="R606" s="63">
        <v>200</v>
      </c>
      <c r="S606" s="201">
        <v>200</v>
      </c>
      <c r="T606" s="201"/>
      <c r="U606" s="403"/>
      <c r="V606" s="351"/>
    </row>
    <row r="607" spans="1:22" s="59" customFormat="1" outlineLevel="2" x14ac:dyDescent="0.25">
      <c r="A607" s="193">
        <v>3322</v>
      </c>
      <c r="B607" s="193">
        <v>5169</v>
      </c>
      <c r="C607" s="193">
        <v>2956</v>
      </c>
      <c r="D607" s="193">
        <v>11003</v>
      </c>
      <c r="E607" s="193">
        <v>0</v>
      </c>
      <c r="F607" s="194">
        <v>0</v>
      </c>
      <c r="G607" s="193">
        <v>0</v>
      </c>
      <c r="H607" s="193">
        <v>0</v>
      </c>
      <c r="I607" s="193">
        <v>0</v>
      </c>
      <c r="J607" s="321" t="str">
        <f t="shared" si="51"/>
        <v>3322/5169/2956/11003/0/0/0/0/0</v>
      </c>
      <c r="K607" s="321" t="s">
        <v>529</v>
      </c>
      <c r="L607" s="201">
        <v>192928.4</v>
      </c>
      <c r="M607" s="201">
        <v>149591.70000000001</v>
      </c>
      <c r="N607" s="201">
        <v>205106.6</v>
      </c>
      <c r="O607" s="201">
        <v>191061.73</v>
      </c>
      <c r="P607" s="201">
        <v>160255.54</v>
      </c>
      <c r="Q607" s="201">
        <v>190000</v>
      </c>
      <c r="R607" s="201">
        <v>221000</v>
      </c>
      <c r="S607" s="201">
        <v>250000</v>
      </c>
      <c r="T607" s="201"/>
      <c r="U607" s="403"/>
      <c r="V607" s="351"/>
    </row>
    <row r="608" spans="1:22" s="59" customFormat="1" outlineLevel="2" x14ac:dyDescent="0.25">
      <c r="A608" s="449">
        <v>3612</v>
      </c>
      <c r="B608" s="449">
        <v>5169</v>
      </c>
      <c r="C608" s="449">
        <v>2956</v>
      </c>
      <c r="D608" s="449">
        <v>69003</v>
      </c>
      <c r="E608" s="449">
        <v>0</v>
      </c>
      <c r="F608" s="449">
        <v>0</v>
      </c>
      <c r="G608" s="449">
        <v>0</v>
      </c>
      <c r="H608" s="449">
        <v>0</v>
      </c>
      <c r="I608" s="449">
        <v>0</v>
      </c>
      <c r="J608" s="321" t="str">
        <f t="shared" si="51"/>
        <v>3612/5169/2956/69003/0/0/0/0/0</v>
      </c>
      <c r="K608" s="447" t="s">
        <v>5082</v>
      </c>
      <c r="L608" s="201"/>
      <c r="M608" s="201"/>
      <c r="N608" s="201"/>
      <c r="O608" s="201"/>
      <c r="P608" s="201"/>
      <c r="Q608" s="201"/>
      <c r="R608" s="201">
        <v>300000</v>
      </c>
      <c r="S608" s="201"/>
      <c r="T608" s="201"/>
      <c r="U608" s="403"/>
      <c r="V608" s="351"/>
    </row>
    <row r="609" spans="1:22" s="59" customFormat="1" outlineLevel="2" x14ac:dyDescent="0.25">
      <c r="A609" s="256">
        <v>2115</v>
      </c>
      <c r="B609" s="256">
        <v>5169</v>
      </c>
      <c r="C609" s="256">
        <v>2956</v>
      </c>
      <c r="D609" s="256">
        <v>69005</v>
      </c>
      <c r="E609" s="256">
        <v>0</v>
      </c>
      <c r="F609" s="256">
        <v>0</v>
      </c>
      <c r="G609" s="256">
        <v>0</v>
      </c>
      <c r="H609" s="256">
        <v>0</v>
      </c>
      <c r="I609" s="256">
        <v>0</v>
      </c>
      <c r="J609" s="321" t="str">
        <f t="shared" si="51"/>
        <v>2115/5169/2956/69005/0/0/0/0/0</v>
      </c>
      <c r="K609" s="447" t="s">
        <v>4712</v>
      </c>
      <c r="L609" s="201"/>
      <c r="M609" s="201"/>
      <c r="N609" s="201"/>
      <c r="O609" s="201"/>
      <c r="P609" s="201"/>
      <c r="Q609" s="201"/>
      <c r="R609" s="201">
        <v>1121000</v>
      </c>
      <c r="S609" s="201"/>
      <c r="T609" s="201"/>
      <c r="U609" s="403"/>
      <c r="V609" s="351"/>
    </row>
    <row r="610" spans="1:22" s="59" customFormat="1" outlineLevel="2" x14ac:dyDescent="0.25">
      <c r="A610" s="193">
        <v>3613</v>
      </c>
      <c r="B610" s="193">
        <v>5171</v>
      </c>
      <c r="C610" s="193">
        <v>2956</v>
      </c>
      <c r="D610" s="193">
        <v>12017</v>
      </c>
      <c r="E610" s="193">
        <v>0</v>
      </c>
      <c r="F610" s="194">
        <v>0</v>
      </c>
      <c r="G610" s="193">
        <v>0</v>
      </c>
      <c r="H610" s="193">
        <v>0</v>
      </c>
      <c r="I610" s="193">
        <v>0</v>
      </c>
      <c r="J610" s="321" t="str">
        <f t="shared" si="51"/>
        <v>3613/5171/2956/12017/0/0/0/0/0</v>
      </c>
      <c r="K610" s="321" t="s">
        <v>531</v>
      </c>
      <c r="L610" s="201">
        <v>246351.75</v>
      </c>
      <c r="M610" s="201">
        <v>458478.39</v>
      </c>
      <c r="N610" s="201">
        <v>542963.72</v>
      </c>
      <c r="O610" s="201">
        <v>460513.77</v>
      </c>
      <c r="P610" s="201">
        <v>1538012.01</v>
      </c>
      <c r="Q610" s="201">
        <v>50000</v>
      </c>
      <c r="R610" s="201">
        <v>1119566.2</v>
      </c>
      <c r="S610" s="201">
        <v>1000000</v>
      </c>
      <c r="T610" s="201"/>
      <c r="U610" s="403" t="s">
        <v>4945</v>
      </c>
      <c r="V610" s="351"/>
    </row>
    <row r="611" spans="1:22" s="59" customFormat="1" outlineLevel="2" x14ac:dyDescent="0.25">
      <c r="A611" s="193">
        <v>3613</v>
      </c>
      <c r="B611" s="193">
        <v>5169</v>
      </c>
      <c r="C611" s="193">
        <v>2956</v>
      </c>
      <c r="D611" s="193">
        <v>12017</v>
      </c>
      <c r="E611" s="193">
        <v>0</v>
      </c>
      <c r="F611" s="194">
        <v>0</v>
      </c>
      <c r="G611" s="193">
        <v>0</v>
      </c>
      <c r="H611" s="193">
        <v>0</v>
      </c>
      <c r="I611" s="193">
        <v>0</v>
      </c>
      <c r="J611" s="321" t="str">
        <f t="shared" si="51"/>
        <v>3613/5169/2956/12017/0/0/0/0/0</v>
      </c>
      <c r="K611" s="321" t="s">
        <v>532</v>
      </c>
      <c r="L611" s="201">
        <v>69651.100000000006</v>
      </c>
      <c r="M611" s="201">
        <v>41872.65</v>
      </c>
      <c r="N611" s="201">
        <v>1815</v>
      </c>
      <c r="O611" s="201">
        <v>71392.789999999994</v>
      </c>
      <c r="P611" s="201">
        <v>154927.19</v>
      </c>
      <c r="Q611" s="201">
        <v>10000</v>
      </c>
      <c r="R611" s="201">
        <v>10000</v>
      </c>
      <c r="S611" s="201">
        <v>6000</v>
      </c>
      <c r="T611" s="201"/>
      <c r="U611" s="403"/>
      <c r="V611" s="351"/>
    </row>
    <row r="612" spans="1:22" s="59" customFormat="1" outlineLevel="2" x14ac:dyDescent="0.25">
      <c r="A612" s="193">
        <v>3313</v>
      </c>
      <c r="B612" s="193">
        <v>5171</v>
      </c>
      <c r="C612" s="193">
        <v>2956</v>
      </c>
      <c r="D612" s="193">
        <v>69400</v>
      </c>
      <c r="E612" s="193">
        <v>0</v>
      </c>
      <c r="F612" s="194">
        <v>0</v>
      </c>
      <c r="G612" s="193">
        <v>0</v>
      </c>
      <c r="H612" s="193">
        <v>0</v>
      </c>
      <c r="I612" s="193">
        <v>0</v>
      </c>
      <c r="J612" s="321" t="str">
        <f t="shared" si="51"/>
        <v>3313/5171/2956/69400/0/0/0/0/0</v>
      </c>
      <c r="K612" s="321" t="s">
        <v>533</v>
      </c>
      <c r="L612" s="201">
        <v>39773.03</v>
      </c>
      <c r="M612" s="201">
        <f>129651.5+25660.38</f>
        <v>155311.88</v>
      </c>
      <c r="N612" s="201">
        <v>24126.74</v>
      </c>
      <c r="O612" s="201">
        <v>489690</v>
      </c>
      <c r="P612" s="201">
        <v>4351</v>
      </c>
      <c r="Q612" s="201">
        <v>30000</v>
      </c>
      <c r="R612" s="201">
        <v>30000</v>
      </c>
      <c r="S612" s="201">
        <v>20000</v>
      </c>
      <c r="T612" s="201"/>
      <c r="U612" s="403"/>
      <c r="V612" s="351"/>
    </row>
    <row r="613" spans="1:22" s="59" customFormat="1" outlineLevel="2" x14ac:dyDescent="0.25">
      <c r="A613" s="193">
        <v>3313</v>
      </c>
      <c r="B613" s="193">
        <v>5169</v>
      </c>
      <c r="C613" s="193">
        <v>2956</v>
      </c>
      <c r="D613" s="193">
        <v>69400</v>
      </c>
      <c r="E613" s="193">
        <v>0</v>
      </c>
      <c r="F613" s="194">
        <v>0</v>
      </c>
      <c r="G613" s="193">
        <v>0</v>
      </c>
      <c r="H613" s="193">
        <v>0</v>
      </c>
      <c r="I613" s="193">
        <v>0</v>
      </c>
      <c r="J613" s="321" t="str">
        <f t="shared" si="51"/>
        <v>3313/5169/2956/69400/0/0/0/0/0</v>
      </c>
      <c r="K613" s="321" t="s">
        <v>534</v>
      </c>
      <c r="L613" s="201">
        <v>25259.16</v>
      </c>
      <c r="M613" s="201"/>
      <c r="N613" s="201">
        <v>27482.5</v>
      </c>
      <c r="O613" s="201">
        <v>24515</v>
      </c>
      <c r="P613" s="201">
        <v>32039.5</v>
      </c>
      <c r="Q613" s="201">
        <v>37000</v>
      </c>
      <c r="R613" s="201">
        <v>37000</v>
      </c>
      <c r="S613" s="201">
        <v>48300</v>
      </c>
      <c r="T613" s="201"/>
      <c r="U613" s="403"/>
      <c r="V613" s="351"/>
    </row>
    <row r="614" spans="1:22" s="59" customFormat="1" outlineLevel="2" x14ac:dyDescent="0.25">
      <c r="A614" s="193">
        <v>3322</v>
      </c>
      <c r="B614" s="193">
        <v>5171</v>
      </c>
      <c r="C614" s="193">
        <v>2956</v>
      </c>
      <c r="D614" s="193">
        <v>11634</v>
      </c>
      <c r="E614" s="193">
        <v>0</v>
      </c>
      <c r="F614" s="194">
        <v>0</v>
      </c>
      <c r="G614" s="193">
        <v>0</v>
      </c>
      <c r="H614" s="193">
        <v>0</v>
      </c>
      <c r="I614" s="193">
        <v>0</v>
      </c>
      <c r="J614" s="321" t="str">
        <f t="shared" ref="J614:J620" si="52">CONCATENATE(A614,"/",B614,"/",C614,"/",D614,"/",E614,"/",F614,"/",G614,"/",H614,"/",I614)</f>
        <v>3322/5171/2956/11634/0/0/0/0/0</v>
      </c>
      <c r="K614" s="321" t="s">
        <v>541</v>
      </c>
      <c r="L614" s="201">
        <v>857.16</v>
      </c>
      <c r="M614" s="201"/>
      <c r="N614" s="201">
        <v>10658</v>
      </c>
      <c r="O614" s="201">
        <v>14648.99</v>
      </c>
      <c r="P614" s="201"/>
      <c r="Q614" s="201">
        <v>10000</v>
      </c>
      <c r="R614" s="201">
        <v>0</v>
      </c>
      <c r="S614" s="201">
        <v>10000</v>
      </c>
      <c r="T614" s="201"/>
      <c r="U614" s="403"/>
      <c r="V614" s="351"/>
    </row>
    <row r="615" spans="1:22" s="59" customFormat="1" outlineLevel="2" x14ac:dyDescent="0.25">
      <c r="A615" s="193">
        <v>3322</v>
      </c>
      <c r="B615" s="193">
        <v>5169</v>
      </c>
      <c r="C615" s="193">
        <v>2956</v>
      </c>
      <c r="D615" s="193">
        <v>11634</v>
      </c>
      <c r="E615" s="193">
        <v>0</v>
      </c>
      <c r="F615" s="194">
        <v>0</v>
      </c>
      <c r="G615" s="193">
        <v>0</v>
      </c>
      <c r="H615" s="193">
        <v>0</v>
      </c>
      <c r="I615" s="193">
        <v>0</v>
      </c>
      <c r="J615" s="321" t="str">
        <f t="shared" si="52"/>
        <v>3322/5169/2956/11634/0/0/0/0/0</v>
      </c>
      <c r="K615" s="321" t="s">
        <v>542</v>
      </c>
      <c r="L615" s="201">
        <v>82149</v>
      </c>
      <c r="M615" s="201">
        <v>61748</v>
      </c>
      <c r="N615" s="201">
        <v>62974</v>
      </c>
      <c r="O615" s="201">
        <v>78317.3</v>
      </c>
      <c r="P615" s="201">
        <v>106424.84</v>
      </c>
      <c r="Q615" s="201">
        <v>70000</v>
      </c>
      <c r="R615" s="201">
        <v>80000</v>
      </c>
      <c r="S615" s="201">
        <v>70000</v>
      </c>
      <c r="T615" s="201"/>
      <c r="U615" s="403"/>
      <c r="V615" s="351"/>
    </row>
    <row r="616" spans="1:22" s="59" customFormat="1" outlineLevel="2" x14ac:dyDescent="0.25">
      <c r="A616" s="187">
        <v>3613</v>
      </c>
      <c r="B616" s="187">
        <v>5137</v>
      </c>
      <c r="C616" s="187">
        <v>2956</v>
      </c>
      <c r="D616" s="187">
        <v>0</v>
      </c>
      <c r="E616" s="187">
        <v>0</v>
      </c>
      <c r="F616" s="187">
        <v>0</v>
      </c>
      <c r="G616" s="187">
        <v>0</v>
      </c>
      <c r="H616" s="187">
        <v>0</v>
      </c>
      <c r="I616" s="187">
        <v>0</v>
      </c>
      <c r="J616" s="327" t="str">
        <f t="shared" si="52"/>
        <v>3613/5137/2956/0/0/0/0/0/0</v>
      </c>
      <c r="K616" s="327" t="s">
        <v>3754</v>
      </c>
      <c r="L616" s="200"/>
      <c r="M616" s="200"/>
      <c r="N616" s="200"/>
      <c r="O616" s="200">
        <v>29782.94</v>
      </c>
      <c r="P616" s="200"/>
      <c r="Q616" s="200"/>
      <c r="R616" s="200">
        <v>7600</v>
      </c>
      <c r="S616" s="201"/>
      <c r="T616" s="201"/>
      <c r="U616" s="403"/>
      <c r="V616" s="351"/>
    </row>
    <row r="617" spans="1:22" s="59" customFormat="1" outlineLevel="2" x14ac:dyDescent="0.25">
      <c r="A617" s="193">
        <v>3613</v>
      </c>
      <c r="B617" s="193">
        <v>5139</v>
      </c>
      <c r="C617" s="193">
        <v>2956</v>
      </c>
      <c r="D617" s="193">
        <v>0</v>
      </c>
      <c r="E617" s="193">
        <v>0</v>
      </c>
      <c r="F617" s="194">
        <v>0</v>
      </c>
      <c r="G617" s="193">
        <v>0</v>
      </c>
      <c r="H617" s="193">
        <v>0</v>
      </c>
      <c r="I617" s="193">
        <v>0</v>
      </c>
      <c r="J617" s="321" t="str">
        <f t="shared" si="52"/>
        <v>3613/5139/2956/0/0/0/0/0/0</v>
      </c>
      <c r="K617" s="321" t="s">
        <v>543</v>
      </c>
      <c r="L617" s="201">
        <f>6064+3019</f>
        <v>9083</v>
      </c>
      <c r="M617" s="201">
        <f>15287+1372</f>
        <v>16659</v>
      </c>
      <c r="N617" s="201">
        <v>3384</v>
      </c>
      <c r="O617" s="201">
        <v>6949</v>
      </c>
      <c r="P617" s="201">
        <v>385</v>
      </c>
      <c r="Q617" s="201">
        <v>1000</v>
      </c>
      <c r="R617" s="201">
        <v>3000</v>
      </c>
      <c r="S617" s="201">
        <v>1000</v>
      </c>
      <c r="T617" s="201"/>
      <c r="U617" s="403"/>
      <c r="V617" s="351"/>
    </row>
    <row r="618" spans="1:22" s="59" customFormat="1" outlineLevel="2" x14ac:dyDescent="0.25">
      <c r="A618" s="193">
        <v>3613</v>
      </c>
      <c r="B618" s="193">
        <v>5171</v>
      </c>
      <c r="C618" s="193">
        <v>2956</v>
      </c>
      <c r="D618" s="193">
        <v>0</v>
      </c>
      <c r="E618" s="193">
        <v>0</v>
      </c>
      <c r="F618" s="194">
        <v>0</v>
      </c>
      <c r="G618" s="193">
        <v>0</v>
      </c>
      <c r="H618" s="193">
        <v>0</v>
      </c>
      <c r="I618" s="193">
        <v>0</v>
      </c>
      <c r="J618" s="321" t="str">
        <f t="shared" si="52"/>
        <v>3613/5171/2956/0/0/0/0/0/0</v>
      </c>
      <c r="K618" s="321" t="s">
        <v>544</v>
      </c>
      <c r="L618" s="201">
        <v>1301846.77</v>
      </c>
      <c r="M618" s="201">
        <v>2408533.15</v>
      </c>
      <c r="N618" s="201">
        <v>1781678.27</v>
      </c>
      <c r="O618" s="201">
        <v>800242.54</v>
      </c>
      <c r="P618" s="201">
        <v>1711497.27</v>
      </c>
      <c r="Q618" s="201">
        <f>800000+500000</f>
        <v>1300000</v>
      </c>
      <c r="R618" s="201">
        <v>2001188.06</v>
      </c>
      <c r="S618" s="201">
        <f>135000+1370000</f>
        <v>1505000</v>
      </c>
      <c r="T618" s="201"/>
      <c r="U618" s="403"/>
      <c r="V618" s="351"/>
    </row>
    <row r="619" spans="1:22" s="59" customFormat="1" outlineLevel="2" x14ac:dyDescent="0.25">
      <c r="A619" s="193">
        <v>3613</v>
      </c>
      <c r="B619" s="193">
        <v>5166</v>
      </c>
      <c r="C619" s="193">
        <v>2956</v>
      </c>
      <c r="D619" s="193">
        <v>0</v>
      </c>
      <c r="E619" s="193">
        <v>0</v>
      </c>
      <c r="F619" s="194">
        <v>0</v>
      </c>
      <c r="G619" s="193">
        <v>0</v>
      </c>
      <c r="H619" s="193">
        <v>0</v>
      </c>
      <c r="I619" s="193">
        <v>0</v>
      </c>
      <c r="J619" s="321" t="str">
        <f t="shared" si="52"/>
        <v>3613/5166/2956/0/0/0/0/0/0</v>
      </c>
      <c r="K619" s="321" t="s">
        <v>545</v>
      </c>
      <c r="L619" s="201">
        <v>5000</v>
      </c>
      <c r="M619" s="201">
        <v>11535</v>
      </c>
      <c r="N619" s="201">
        <v>22000</v>
      </c>
      <c r="O619" s="201">
        <v>46220</v>
      </c>
      <c r="P619" s="201">
        <v>61732</v>
      </c>
      <c r="Q619" s="201">
        <v>10000</v>
      </c>
      <c r="R619" s="201">
        <v>10000</v>
      </c>
      <c r="S619" s="201">
        <v>10000</v>
      </c>
      <c r="T619" s="201"/>
      <c r="U619" s="403"/>
      <c r="V619" s="351"/>
    </row>
    <row r="620" spans="1:22" s="59" customFormat="1" outlineLevel="2" x14ac:dyDescent="0.25">
      <c r="A620" s="193">
        <v>3613</v>
      </c>
      <c r="B620" s="193">
        <v>5169</v>
      </c>
      <c r="C620" s="193">
        <v>2956</v>
      </c>
      <c r="D620" s="193">
        <v>0</v>
      </c>
      <c r="E620" s="193">
        <v>0</v>
      </c>
      <c r="F620" s="194">
        <v>0</v>
      </c>
      <c r="G620" s="193">
        <v>0</v>
      </c>
      <c r="H620" s="193">
        <v>0</v>
      </c>
      <c r="I620" s="193">
        <v>0</v>
      </c>
      <c r="J620" s="321" t="str">
        <f t="shared" si="52"/>
        <v>3613/5169/2956/0/0/0/0/0/0</v>
      </c>
      <c r="K620" s="321" t="s">
        <v>140</v>
      </c>
      <c r="L620" s="201">
        <f>377901.3+25000+57491</f>
        <v>460392.3</v>
      </c>
      <c r="M620" s="201">
        <f>486190.93+194400+12500+2494</f>
        <v>695584.92999999993</v>
      </c>
      <c r="N620" s="201">
        <v>586594.86</v>
      </c>
      <c r="O620" s="201">
        <v>610775.31999999995</v>
      </c>
      <c r="P620" s="201">
        <v>596834.51</v>
      </c>
      <c r="Q620" s="201">
        <v>365000</v>
      </c>
      <c r="R620" s="201">
        <v>518000</v>
      </c>
      <c r="S620" s="201">
        <v>540000</v>
      </c>
      <c r="T620" s="201"/>
      <c r="U620" s="403"/>
      <c r="V620" s="351"/>
    </row>
    <row r="621" spans="1:22" s="59" customFormat="1" outlineLevel="2" x14ac:dyDescent="0.25">
      <c r="A621" s="193">
        <v>3613</v>
      </c>
      <c r="B621" s="193">
        <v>5162</v>
      </c>
      <c r="C621" s="193">
        <v>2956</v>
      </c>
      <c r="D621" s="193">
        <v>0</v>
      </c>
      <c r="E621" s="193">
        <v>0</v>
      </c>
      <c r="F621" s="194">
        <v>0</v>
      </c>
      <c r="G621" s="193">
        <v>0</v>
      </c>
      <c r="H621" s="193">
        <v>0</v>
      </c>
      <c r="I621" s="193">
        <v>0</v>
      </c>
      <c r="J621" s="321" t="s">
        <v>4987</v>
      </c>
      <c r="K621" s="321" t="s">
        <v>4941</v>
      </c>
      <c r="L621" s="201"/>
      <c r="M621" s="201"/>
      <c r="N621" s="201"/>
      <c r="O621" s="201"/>
      <c r="P621" s="201"/>
      <c r="Q621" s="201"/>
      <c r="R621" s="201"/>
      <c r="S621" s="201">
        <v>1400</v>
      </c>
      <c r="T621" s="201"/>
      <c r="U621" s="403"/>
      <c r="V621" s="351"/>
    </row>
    <row r="622" spans="1:22" s="59" customFormat="1" outlineLevel="2" x14ac:dyDescent="0.25">
      <c r="A622" s="193">
        <v>3613</v>
      </c>
      <c r="B622" s="193">
        <v>5171</v>
      </c>
      <c r="C622" s="193">
        <v>2956</v>
      </c>
      <c r="D622" s="193">
        <v>12024</v>
      </c>
      <c r="E622" s="193">
        <v>0</v>
      </c>
      <c r="F622" s="194">
        <v>0</v>
      </c>
      <c r="G622" s="193">
        <v>0</v>
      </c>
      <c r="H622" s="193">
        <v>0</v>
      </c>
      <c r="I622" s="193">
        <v>0</v>
      </c>
      <c r="J622" s="321" t="s">
        <v>4991</v>
      </c>
      <c r="K622" s="321" t="s">
        <v>4942</v>
      </c>
      <c r="L622" s="201"/>
      <c r="M622" s="201"/>
      <c r="N622" s="201"/>
      <c r="O622" s="201"/>
      <c r="P622" s="201"/>
      <c r="Q622" s="201"/>
      <c r="R622" s="201"/>
      <c r="S622" s="201">
        <v>0</v>
      </c>
      <c r="T622" s="201">
        <v>250000</v>
      </c>
      <c r="U622" s="403" t="s">
        <v>4943</v>
      </c>
      <c r="V622" s="351"/>
    </row>
    <row r="623" spans="1:22" s="59" customFormat="1" outlineLevel="2" x14ac:dyDescent="0.25">
      <c r="A623" s="193">
        <v>3613</v>
      </c>
      <c r="B623" s="193">
        <v>5171</v>
      </c>
      <c r="C623" s="193">
        <v>2956</v>
      </c>
      <c r="D623" s="193">
        <v>12001</v>
      </c>
      <c r="E623" s="193">
        <v>0</v>
      </c>
      <c r="F623" s="194">
        <v>0</v>
      </c>
      <c r="G623" s="193">
        <v>0</v>
      </c>
      <c r="H623" s="193">
        <v>0</v>
      </c>
      <c r="I623" s="193">
        <v>0</v>
      </c>
      <c r="J623" s="321" t="str">
        <f t="shared" ref="J623:J647" si="53">CONCATENATE(A623,"/",B623,"/",C623,"/",D623,"/",E623,"/",F623,"/",G623,"/",H623,"/",I623)</f>
        <v>3613/5171/2956/12001/0/0/0/0/0</v>
      </c>
      <c r="K623" s="321" t="s">
        <v>546</v>
      </c>
      <c r="L623" s="201">
        <v>668203.67000000004</v>
      </c>
      <c r="M623" s="201">
        <f>453638.33+4537.5</f>
        <v>458175.83</v>
      </c>
      <c r="N623" s="201">
        <v>525543.42999999993</v>
      </c>
      <c r="O623" s="201">
        <v>102770.27</v>
      </c>
      <c r="P623" s="201">
        <v>249328.54</v>
      </c>
      <c r="Q623" s="201">
        <f>50000+530000</f>
        <v>580000</v>
      </c>
      <c r="R623" s="201">
        <v>1132420</v>
      </c>
      <c r="S623" s="201">
        <v>520000</v>
      </c>
      <c r="T623" s="201"/>
      <c r="U623" s="403" t="s">
        <v>4944</v>
      </c>
      <c r="V623" s="351"/>
    </row>
    <row r="624" spans="1:22" s="59" customFormat="1" outlineLevel="2" x14ac:dyDescent="0.25">
      <c r="A624" s="193">
        <v>3613</v>
      </c>
      <c r="B624" s="193">
        <v>5169</v>
      </c>
      <c r="C624" s="193">
        <v>2956</v>
      </c>
      <c r="D624" s="193">
        <v>12001</v>
      </c>
      <c r="E624" s="193">
        <v>0</v>
      </c>
      <c r="F624" s="194">
        <v>0</v>
      </c>
      <c r="G624" s="193">
        <v>0</v>
      </c>
      <c r="H624" s="193">
        <v>0</v>
      </c>
      <c r="I624" s="193">
        <v>0</v>
      </c>
      <c r="J624" s="321" t="str">
        <f t="shared" si="53"/>
        <v>3613/5169/2956/12001/0/0/0/0/0</v>
      </c>
      <c r="K624" s="321" t="s">
        <v>547</v>
      </c>
      <c r="L624" s="201">
        <v>88552.8</v>
      </c>
      <c r="M624" s="201">
        <f>83756.04+29524+38815</f>
        <v>152095.03999999998</v>
      </c>
      <c r="N624" s="201">
        <v>96861.71</v>
      </c>
      <c r="O624" s="201">
        <v>162406.60999999999</v>
      </c>
      <c r="P624" s="201">
        <v>108101.4</v>
      </c>
      <c r="Q624" s="201">
        <v>110000</v>
      </c>
      <c r="R624" s="201">
        <v>110000</v>
      </c>
      <c r="S624" s="201">
        <v>135000</v>
      </c>
      <c r="T624" s="201"/>
      <c r="U624" s="403"/>
      <c r="V624" s="351"/>
    </row>
    <row r="625" spans="1:22" s="59" customFormat="1" outlineLevel="2" x14ac:dyDescent="0.25">
      <c r="A625" s="193">
        <v>3613</v>
      </c>
      <c r="B625" s="193">
        <v>5162</v>
      </c>
      <c r="C625" s="193">
        <v>2956</v>
      </c>
      <c r="D625" s="193">
        <v>12001</v>
      </c>
      <c r="E625" s="193">
        <v>0</v>
      </c>
      <c r="F625" s="269">
        <v>0</v>
      </c>
      <c r="G625" s="269">
        <v>0</v>
      </c>
      <c r="H625" s="269">
        <v>0</v>
      </c>
      <c r="I625" s="269">
        <v>0</v>
      </c>
      <c r="J625" s="290" t="str">
        <f t="shared" si="53"/>
        <v>3613/5162/2956/12001/0/0/0/0/0</v>
      </c>
      <c r="K625" s="290" t="s">
        <v>4415</v>
      </c>
      <c r="L625" s="63"/>
      <c r="M625" s="63"/>
      <c r="N625" s="63"/>
      <c r="O625" s="63"/>
      <c r="P625" s="63">
        <v>1855.84</v>
      </c>
      <c r="Q625" s="63">
        <v>1500</v>
      </c>
      <c r="R625" s="63">
        <v>1500</v>
      </c>
      <c r="S625" s="201">
        <v>1500</v>
      </c>
      <c r="T625" s="201"/>
      <c r="U625" s="403"/>
      <c r="V625" s="351"/>
    </row>
    <row r="626" spans="1:22" s="59" customFormat="1" outlineLevel="2" x14ac:dyDescent="0.25">
      <c r="A626" s="193">
        <v>3634</v>
      </c>
      <c r="B626" s="193">
        <v>5171</v>
      </c>
      <c r="C626" s="193">
        <v>2956</v>
      </c>
      <c r="D626" s="193">
        <v>0</v>
      </c>
      <c r="E626" s="193">
        <v>0</v>
      </c>
      <c r="F626" s="194">
        <v>0</v>
      </c>
      <c r="G626" s="193">
        <v>0</v>
      </c>
      <c r="H626" s="193">
        <v>0</v>
      </c>
      <c r="I626" s="193">
        <v>0</v>
      </c>
      <c r="J626" s="321" t="str">
        <f t="shared" si="53"/>
        <v>3634/5171/2956/0/0/0/0/0/0</v>
      </c>
      <c r="K626" s="321" t="s">
        <v>4382</v>
      </c>
      <c r="L626" s="201"/>
      <c r="M626" s="201"/>
      <c r="N626" s="201"/>
      <c r="O626" s="201"/>
      <c r="P626" s="201"/>
      <c r="Q626" s="201">
        <v>1400000</v>
      </c>
      <c r="R626" s="201">
        <v>29694</v>
      </c>
      <c r="S626" s="201"/>
      <c r="T626" s="201"/>
      <c r="U626" s="403"/>
      <c r="V626" s="351"/>
    </row>
    <row r="627" spans="1:22" s="59" customFormat="1" outlineLevel="2" x14ac:dyDescent="0.25">
      <c r="A627" s="193">
        <v>3632</v>
      </c>
      <c r="B627" s="193">
        <v>5139</v>
      </c>
      <c r="C627" s="193">
        <v>2956</v>
      </c>
      <c r="D627" s="187">
        <v>13026</v>
      </c>
      <c r="E627" s="187">
        <v>0</v>
      </c>
      <c r="F627" s="187">
        <v>0</v>
      </c>
      <c r="G627" s="187">
        <v>0</v>
      </c>
      <c r="H627" s="193">
        <v>0</v>
      </c>
      <c r="I627" s="193">
        <v>0</v>
      </c>
      <c r="J627" s="321" t="str">
        <f t="shared" si="53"/>
        <v>3632/5139/2956/13026/0/0/0/0/0</v>
      </c>
      <c r="K627" s="321" t="s">
        <v>4418</v>
      </c>
      <c r="L627" s="201"/>
      <c r="M627" s="201"/>
      <c r="N627" s="201"/>
      <c r="O627" s="201"/>
      <c r="P627" s="201"/>
      <c r="Q627" s="201">
        <v>4000</v>
      </c>
      <c r="R627" s="201">
        <v>4000</v>
      </c>
      <c r="S627" s="201">
        <v>5000</v>
      </c>
      <c r="T627" s="201"/>
      <c r="U627" s="403"/>
      <c r="V627" s="351"/>
    </row>
    <row r="628" spans="1:22" s="59" customFormat="1" outlineLevel="2" x14ac:dyDescent="0.25">
      <c r="A628" s="194">
        <v>3632</v>
      </c>
      <c r="B628" s="194">
        <v>5171</v>
      </c>
      <c r="C628" s="194">
        <v>2956</v>
      </c>
      <c r="D628" s="194">
        <v>13026</v>
      </c>
      <c r="E628" s="194">
        <v>0</v>
      </c>
      <c r="F628" s="194">
        <v>0</v>
      </c>
      <c r="G628" s="194">
        <v>0</v>
      </c>
      <c r="H628" s="194">
        <v>0</v>
      </c>
      <c r="I628" s="194">
        <v>0</v>
      </c>
      <c r="J628" s="320" t="str">
        <f t="shared" si="53"/>
        <v>3632/5171/2956/13026/0/0/0/0/0</v>
      </c>
      <c r="K628" s="320" t="s">
        <v>548</v>
      </c>
      <c r="L628" s="201">
        <v>0</v>
      </c>
      <c r="M628" s="201">
        <v>6924.83</v>
      </c>
      <c r="N628" s="201">
        <v>517199.02999999997</v>
      </c>
      <c r="O628" s="201">
        <v>27226.69</v>
      </c>
      <c r="P628" s="201">
        <v>36606.35</v>
      </c>
      <c r="Q628" s="201">
        <v>30000</v>
      </c>
      <c r="R628" s="201">
        <v>30000</v>
      </c>
      <c r="S628" s="201">
        <v>5000</v>
      </c>
      <c r="T628" s="201"/>
      <c r="U628" s="403"/>
      <c r="V628" s="351"/>
    </row>
    <row r="629" spans="1:22" s="59" customFormat="1" outlineLevel="2" x14ac:dyDescent="0.25">
      <c r="A629" s="193">
        <v>3632</v>
      </c>
      <c r="B629" s="193">
        <v>5169</v>
      </c>
      <c r="C629" s="193">
        <v>2956</v>
      </c>
      <c r="D629" s="187">
        <v>0</v>
      </c>
      <c r="E629" s="187">
        <v>0</v>
      </c>
      <c r="F629" s="187">
        <v>0</v>
      </c>
      <c r="G629" s="187">
        <v>0</v>
      </c>
      <c r="H629" s="193">
        <v>0</v>
      </c>
      <c r="I629" s="193">
        <v>0</v>
      </c>
      <c r="J629" s="321" t="str">
        <f t="shared" si="53"/>
        <v>3632/5169/2956/0/0/0/0/0/0</v>
      </c>
      <c r="K629" s="321" t="s">
        <v>4419</v>
      </c>
      <c r="L629" s="201"/>
      <c r="M629" s="201"/>
      <c r="N629" s="201"/>
      <c r="O629" s="201"/>
      <c r="P629" s="201"/>
      <c r="Q629" s="201">
        <v>30000</v>
      </c>
      <c r="R629" s="201">
        <v>30000</v>
      </c>
      <c r="S629" s="201">
        <v>1000</v>
      </c>
      <c r="T629" s="201"/>
      <c r="U629" s="403"/>
      <c r="V629" s="351"/>
    </row>
    <row r="630" spans="1:22" s="59" customFormat="1" outlineLevel="2" x14ac:dyDescent="0.25">
      <c r="A630" s="187">
        <v>3619</v>
      </c>
      <c r="B630" s="187">
        <v>5123</v>
      </c>
      <c r="C630" s="187">
        <v>2956</v>
      </c>
      <c r="D630" s="187">
        <v>0</v>
      </c>
      <c r="E630" s="187">
        <v>0</v>
      </c>
      <c r="F630" s="187">
        <v>0</v>
      </c>
      <c r="G630" s="187">
        <v>0</v>
      </c>
      <c r="H630" s="187">
        <v>0</v>
      </c>
      <c r="I630" s="187">
        <v>0</v>
      </c>
      <c r="J630" s="327" t="str">
        <f t="shared" si="53"/>
        <v>3619/5123/2956/0/0/0/0/0/0</v>
      </c>
      <c r="K630" s="327" t="s">
        <v>3758</v>
      </c>
      <c r="L630" s="200"/>
      <c r="M630" s="200"/>
      <c r="N630" s="200"/>
      <c r="O630" s="200">
        <v>43366.22</v>
      </c>
      <c r="P630" s="200"/>
      <c r="Q630" s="200"/>
      <c r="R630" s="200">
        <v>18100</v>
      </c>
      <c r="S630" s="201"/>
      <c r="T630" s="201"/>
      <c r="U630" s="403"/>
      <c r="V630" s="351"/>
    </row>
    <row r="631" spans="1:22" s="59" customFormat="1" outlineLevel="2" x14ac:dyDescent="0.25">
      <c r="A631" s="193">
        <v>3619</v>
      </c>
      <c r="B631" s="193">
        <v>5171</v>
      </c>
      <c r="C631" s="193">
        <v>2956</v>
      </c>
      <c r="D631" s="193">
        <v>0</v>
      </c>
      <c r="E631" s="193">
        <v>0</v>
      </c>
      <c r="F631" s="194">
        <v>0</v>
      </c>
      <c r="G631" s="193">
        <v>0</v>
      </c>
      <c r="H631" s="193">
        <v>0</v>
      </c>
      <c r="I631" s="193">
        <v>0</v>
      </c>
      <c r="J631" s="321" t="str">
        <f t="shared" si="53"/>
        <v>3619/5171/2956/0/0/0/0/0/0</v>
      </c>
      <c r="K631" s="321" t="s">
        <v>553</v>
      </c>
      <c r="L631" s="201">
        <f>1360180.85+26383.55+3805</f>
        <v>1390369.4000000001</v>
      </c>
      <c r="M631" s="201">
        <v>2066722.96</v>
      </c>
      <c r="N631" s="201">
        <v>1207154.73</v>
      </c>
      <c r="O631" s="201">
        <v>982033.53</v>
      </c>
      <c r="P631" s="201">
        <v>1211161.55</v>
      </c>
      <c r="Q631" s="201">
        <f>871000-300000</f>
        <v>571000</v>
      </c>
      <c r="R631" s="201">
        <v>506930</v>
      </c>
      <c r="S631" s="201">
        <v>550000</v>
      </c>
      <c r="T631" s="201"/>
      <c r="U631" s="403"/>
      <c r="V631" s="351"/>
    </row>
    <row r="632" spans="1:22" s="59" customFormat="1" outlineLevel="2" x14ac:dyDescent="0.25">
      <c r="A632" s="193">
        <v>3619</v>
      </c>
      <c r="B632" s="193">
        <v>5169</v>
      </c>
      <c r="C632" s="193">
        <v>2956</v>
      </c>
      <c r="D632" s="193">
        <v>0</v>
      </c>
      <c r="E632" s="193">
        <v>0</v>
      </c>
      <c r="F632" s="194">
        <v>0</v>
      </c>
      <c r="G632" s="193">
        <v>0</v>
      </c>
      <c r="H632" s="193">
        <v>0</v>
      </c>
      <c r="I632" s="193">
        <v>0</v>
      </c>
      <c r="J632" s="321" t="str">
        <f t="shared" si="53"/>
        <v>3619/5169/2956/0/0/0/0/0/0</v>
      </c>
      <c r="K632" s="321" t="s">
        <v>4461</v>
      </c>
      <c r="L632" s="201">
        <v>164466.56</v>
      </c>
      <c r="M632" s="201">
        <v>160181.66</v>
      </c>
      <c r="N632" s="201">
        <v>162722.97</v>
      </c>
      <c r="O632" s="201">
        <v>409487.98</v>
      </c>
      <c r="P632" s="201">
        <v>247280.4</v>
      </c>
      <c r="Q632" s="201">
        <v>201100</v>
      </c>
      <c r="R632" s="201">
        <v>221100</v>
      </c>
      <c r="S632" s="201">
        <v>245000</v>
      </c>
      <c r="T632" s="201"/>
      <c r="U632" s="403"/>
      <c r="V632" s="351"/>
    </row>
    <row r="633" spans="1:22" s="59" customFormat="1" outlineLevel="2" x14ac:dyDescent="0.25">
      <c r="A633" s="187">
        <v>3613</v>
      </c>
      <c r="B633" s="187">
        <v>5139</v>
      </c>
      <c r="C633" s="187">
        <v>2956</v>
      </c>
      <c r="D633" s="187">
        <v>13001</v>
      </c>
      <c r="E633" s="187">
        <v>0</v>
      </c>
      <c r="F633" s="269">
        <v>0</v>
      </c>
      <c r="G633" s="269">
        <v>0</v>
      </c>
      <c r="H633" s="269">
        <v>0</v>
      </c>
      <c r="I633" s="269">
        <v>0</v>
      </c>
      <c r="J633" s="290" t="str">
        <f t="shared" si="53"/>
        <v>3613/5139/2956/13001/0/0/0/0/0</v>
      </c>
      <c r="K633" s="290" t="s">
        <v>252</v>
      </c>
      <c r="L633" s="63"/>
      <c r="M633" s="63"/>
      <c r="N633" s="63"/>
      <c r="O633" s="63"/>
      <c r="P633" s="63">
        <v>13533.54</v>
      </c>
      <c r="Q633" s="63">
        <v>1000</v>
      </c>
      <c r="R633" s="63">
        <v>1000</v>
      </c>
      <c r="S633" s="201">
        <v>500</v>
      </c>
      <c r="T633" s="201"/>
      <c r="U633" s="403"/>
      <c r="V633" s="351"/>
    </row>
    <row r="634" spans="1:22" s="59" customFormat="1" outlineLevel="2" x14ac:dyDescent="0.25">
      <c r="A634" s="193">
        <v>3613</v>
      </c>
      <c r="B634" s="193">
        <v>5171</v>
      </c>
      <c r="C634" s="193">
        <v>2956</v>
      </c>
      <c r="D634" s="193">
        <v>13001</v>
      </c>
      <c r="E634" s="193">
        <v>0</v>
      </c>
      <c r="F634" s="194">
        <v>0</v>
      </c>
      <c r="G634" s="193">
        <v>0</v>
      </c>
      <c r="H634" s="193">
        <v>0</v>
      </c>
      <c r="I634" s="193">
        <v>0</v>
      </c>
      <c r="J634" s="321" t="str">
        <f t="shared" si="53"/>
        <v>3613/5171/2956/13001/0/0/0/0/0</v>
      </c>
      <c r="K634" s="321" t="s">
        <v>554</v>
      </c>
      <c r="L634" s="201">
        <v>123248.11</v>
      </c>
      <c r="M634" s="201">
        <v>56578.99</v>
      </c>
      <c r="N634" s="201">
        <v>47246.09</v>
      </c>
      <c r="O634" s="201">
        <v>84444.39</v>
      </c>
      <c r="P634" s="201">
        <v>197518.72</v>
      </c>
      <c r="Q634" s="201">
        <v>50000</v>
      </c>
      <c r="R634" s="201">
        <v>74500</v>
      </c>
      <c r="S634" s="201">
        <v>60000</v>
      </c>
      <c r="T634" s="201"/>
      <c r="U634" s="403"/>
      <c r="V634" s="351"/>
    </row>
    <row r="635" spans="1:22" s="59" customFormat="1" outlineLevel="2" x14ac:dyDescent="0.25">
      <c r="A635" s="193">
        <v>3613</v>
      </c>
      <c r="B635" s="193">
        <v>5164</v>
      </c>
      <c r="C635" s="193">
        <v>2956</v>
      </c>
      <c r="D635" s="193">
        <v>13001</v>
      </c>
      <c r="E635" s="193">
        <v>0</v>
      </c>
      <c r="F635" s="194">
        <v>0</v>
      </c>
      <c r="G635" s="193">
        <v>0</v>
      </c>
      <c r="H635" s="193">
        <v>0</v>
      </c>
      <c r="I635" s="193">
        <v>0</v>
      </c>
      <c r="J635" s="321" t="str">
        <f t="shared" si="53"/>
        <v>3613/5164/2956/13001/0/0/0/0/0</v>
      </c>
      <c r="K635" s="321" t="s">
        <v>4416</v>
      </c>
      <c r="L635" s="201"/>
      <c r="M635" s="201"/>
      <c r="N635" s="201"/>
      <c r="O635" s="201"/>
      <c r="P635" s="201">
        <v>774.4</v>
      </c>
      <c r="Q635" s="201">
        <v>800</v>
      </c>
      <c r="R635" s="201">
        <v>800</v>
      </c>
      <c r="S635" s="201">
        <v>800</v>
      </c>
      <c r="T635" s="201"/>
      <c r="U635" s="403"/>
      <c r="V635" s="351"/>
    </row>
    <row r="636" spans="1:22" s="59" customFormat="1" outlineLevel="2" x14ac:dyDescent="0.25">
      <c r="A636" s="193">
        <v>3613</v>
      </c>
      <c r="B636" s="193">
        <v>5169</v>
      </c>
      <c r="C636" s="193">
        <v>2956</v>
      </c>
      <c r="D636" s="193">
        <v>13001</v>
      </c>
      <c r="E636" s="193">
        <v>0</v>
      </c>
      <c r="F636" s="194">
        <v>0</v>
      </c>
      <c r="G636" s="193">
        <v>0</v>
      </c>
      <c r="H636" s="193">
        <v>0</v>
      </c>
      <c r="I636" s="193">
        <v>0</v>
      </c>
      <c r="J636" s="321" t="str">
        <f t="shared" si="53"/>
        <v>3613/5169/2956/13001/0/0/0/0/0</v>
      </c>
      <c r="K636" s="321" t="s">
        <v>555</v>
      </c>
      <c r="L636" s="201">
        <f>113205+2924+0.4</f>
        <v>116129.4</v>
      </c>
      <c r="M636" s="201">
        <v>97628.11</v>
      </c>
      <c r="N636" s="201">
        <v>92416.05</v>
      </c>
      <c r="O636" s="201">
        <v>86014.62000000001</v>
      </c>
      <c r="P636" s="201">
        <v>144002.12</v>
      </c>
      <c r="Q636" s="201">
        <v>130000</v>
      </c>
      <c r="R636" s="201">
        <v>167500</v>
      </c>
      <c r="S636" s="201">
        <v>177782</v>
      </c>
      <c r="T636" s="201"/>
      <c r="U636" s="403"/>
      <c r="V636" s="351"/>
    </row>
    <row r="637" spans="1:22" s="59" customFormat="1" outlineLevel="2" x14ac:dyDescent="0.25">
      <c r="A637" s="193">
        <v>3613</v>
      </c>
      <c r="B637" s="193">
        <v>5162</v>
      </c>
      <c r="C637" s="193">
        <v>2956</v>
      </c>
      <c r="D637" s="193">
        <v>13001</v>
      </c>
      <c r="E637" s="193">
        <v>0</v>
      </c>
      <c r="F637" s="194">
        <v>0</v>
      </c>
      <c r="G637" s="193">
        <v>0</v>
      </c>
      <c r="H637" s="193">
        <v>0</v>
      </c>
      <c r="I637" s="193">
        <v>0</v>
      </c>
      <c r="J637" s="321" t="str">
        <f t="shared" si="53"/>
        <v>3613/5162/2956/13001/0/0/0/0/0</v>
      </c>
      <c r="K637" s="321" t="s">
        <v>556</v>
      </c>
      <c r="L637" s="201">
        <v>22995.360000000001</v>
      </c>
      <c r="M637" s="201">
        <v>22995.360000000001</v>
      </c>
      <c r="N637" s="201">
        <v>22995.360000000001</v>
      </c>
      <c r="O637" s="201">
        <v>22995.360000000001</v>
      </c>
      <c r="P637" s="201">
        <v>20984.080000000002</v>
      </c>
      <c r="Q637" s="201">
        <v>20000</v>
      </c>
      <c r="R637" s="201">
        <v>20000</v>
      </c>
      <c r="S637" s="201">
        <v>20000</v>
      </c>
      <c r="T637" s="201"/>
      <c r="U637" s="403"/>
      <c r="V637" s="351"/>
    </row>
    <row r="638" spans="1:22" s="59" customFormat="1" outlineLevel="2" x14ac:dyDescent="0.25">
      <c r="A638" s="193">
        <v>3613</v>
      </c>
      <c r="B638" s="193">
        <v>5137</v>
      </c>
      <c r="C638" s="193">
        <v>2956</v>
      </c>
      <c r="D638" s="193">
        <v>13800</v>
      </c>
      <c r="E638" s="193">
        <v>0</v>
      </c>
      <c r="F638" s="194">
        <v>0</v>
      </c>
      <c r="G638" s="193">
        <v>0</v>
      </c>
      <c r="H638" s="193">
        <v>0</v>
      </c>
      <c r="I638" s="193">
        <v>0</v>
      </c>
      <c r="J638" s="321" t="str">
        <f t="shared" si="53"/>
        <v>3613/5137/2956/13800/0/0/0/0/0</v>
      </c>
      <c r="K638" s="321" t="s">
        <v>562</v>
      </c>
      <c r="L638" s="201">
        <v>54360</v>
      </c>
      <c r="M638" s="201">
        <v>22471.8</v>
      </c>
      <c r="N638" s="201">
        <v>103091</v>
      </c>
      <c r="O638" s="201">
        <v>110807</v>
      </c>
      <c r="P638" s="201">
        <v>225766.5</v>
      </c>
      <c r="Q638" s="201">
        <v>50000</v>
      </c>
      <c r="R638" s="201">
        <v>42000</v>
      </c>
      <c r="S638" s="201">
        <v>50000</v>
      </c>
      <c r="T638" s="201"/>
      <c r="U638" s="403"/>
      <c r="V638" s="351"/>
    </row>
    <row r="639" spans="1:22" s="59" customFormat="1" outlineLevel="2" x14ac:dyDescent="0.25">
      <c r="A639" s="193">
        <v>3613</v>
      </c>
      <c r="B639" s="193">
        <v>5139</v>
      </c>
      <c r="C639" s="193">
        <v>2956</v>
      </c>
      <c r="D639" s="193">
        <v>13800</v>
      </c>
      <c r="E639" s="193">
        <v>0</v>
      </c>
      <c r="F639" s="194">
        <v>0</v>
      </c>
      <c r="G639" s="193">
        <v>0</v>
      </c>
      <c r="H639" s="193">
        <v>0</v>
      </c>
      <c r="I639" s="193">
        <v>0</v>
      </c>
      <c r="J639" s="321" t="str">
        <f t="shared" si="53"/>
        <v>3613/5139/2956/13800/0/0/0/0/0</v>
      </c>
      <c r="K639" s="321" t="s">
        <v>563</v>
      </c>
      <c r="L639" s="201">
        <v>3040</v>
      </c>
      <c r="M639" s="201">
        <v>212</v>
      </c>
      <c r="N639" s="201">
        <v>875</v>
      </c>
      <c r="O639" s="201">
        <v>20437</v>
      </c>
      <c r="P639" s="201">
        <v>6090</v>
      </c>
      <c r="Q639" s="201">
        <v>5000</v>
      </c>
      <c r="R639" s="201">
        <v>5000</v>
      </c>
      <c r="S639" s="201">
        <v>5000</v>
      </c>
      <c r="T639" s="201"/>
      <c r="U639" s="403"/>
      <c r="V639" s="351"/>
    </row>
    <row r="640" spans="1:22" s="59" customFormat="1" outlineLevel="2" x14ac:dyDescent="0.25">
      <c r="A640" s="193">
        <v>3613</v>
      </c>
      <c r="B640" s="193">
        <v>5171</v>
      </c>
      <c r="C640" s="193">
        <v>2956</v>
      </c>
      <c r="D640" s="193">
        <v>13800</v>
      </c>
      <c r="E640" s="193">
        <v>0</v>
      </c>
      <c r="F640" s="194">
        <v>0</v>
      </c>
      <c r="G640" s="193">
        <v>0</v>
      </c>
      <c r="H640" s="193">
        <v>0</v>
      </c>
      <c r="I640" s="193">
        <v>0</v>
      </c>
      <c r="J640" s="321" t="str">
        <f t="shared" si="53"/>
        <v>3613/5171/2956/13800/0/0/0/0/0</v>
      </c>
      <c r="K640" s="321" t="s">
        <v>564</v>
      </c>
      <c r="L640" s="201">
        <v>55443.65</v>
      </c>
      <c r="M640" s="201">
        <v>432513.39</v>
      </c>
      <c r="N640" s="201">
        <v>130194.66</v>
      </c>
      <c r="O640" s="201">
        <v>208937.63</v>
      </c>
      <c r="P640" s="201">
        <v>441216.31</v>
      </c>
      <c r="Q640" s="201">
        <v>50000</v>
      </c>
      <c r="R640" s="201">
        <v>140000</v>
      </c>
      <c r="S640" s="201">
        <v>80000</v>
      </c>
      <c r="T640" s="201"/>
      <c r="U640" s="403"/>
      <c r="V640" s="351"/>
    </row>
    <row r="641" spans="1:22" s="59" customFormat="1" outlineLevel="2" x14ac:dyDescent="0.25">
      <c r="A641" s="193">
        <v>3613</v>
      </c>
      <c r="B641" s="193">
        <v>5169</v>
      </c>
      <c r="C641" s="193">
        <v>2956</v>
      </c>
      <c r="D641" s="193">
        <v>13800</v>
      </c>
      <c r="E641" s="193">
        <v>0</v>
      </c>
      <c r="F641" s="194">
        <v>0</v>
      </c>
      <c r="G641" s="193">
        <v>0</v>
      </c>
      <c r="H641" s="193">
        <v>0</v>
      </c>
      <c r="I641" s="193">
        <v>0</v>
      </c>
      <c r="J641" s="321" t="str">
        <f t="shared" si="53"/>
        <v>3613/5169/2956/13800/0/0/0/0/0</v>
      </c>
      <c r="K641" s="321" t="s">
        <v>565</v>
      </c>
      <c r="L641" s="201">
        <v>53258.93</v>
      </c>
      <c r="M641" s="201">
        <v>49304.72</v>
      </c>
      <c r="N641" s="201">
        <v>30741.4</v>
      </c>
      <c r="O641" s="201">
        <v>43231.65</v>
      </c>
      <c r="P641" s="201">
        <v>68994.59</v>
      </c>
      <c r="Q641" s="201">
        <v>40000</v>
      </c>
      <c r="R641" s="201">
        <v>78000</v>
      </c>
      <c r="S641" s="201">
        <v>40000</v>
      </c>
      <c r="T641" s="201"/>
      <c r="U641" s="403"/>
      <c r="V641" s="351"/>
    </row>
    <row r="642" spans="1:22" s="59" customFormat="1" outlineLevel="2" x14ac:dyDescent="0.25">
      <c r="A642" s="193">
        <v>3613</v>
      </c>
      <c r="B642" s="193">
        <v>5171</v>
      </c>
      <c r="C642" s="193">
        <v>2956</v>
      </c>
      <c r="D642" s="193">
        <v>11001</v>
      </c>
      <c r="E642" s="193">
        <v>0</v>
      </c>
      <c r="F642" s="194">
        <v>0</v>
      </c>
      <c r="G642" s="193">
        <v>0</v>
      </c>
      <c r="H642" s="193">
        <v>0</v>
      </c>
      <c r="I642" s="193">
        <v>0</v>
      </c>
      <c r="J642" s="321" t="str">
        <f t="shared" si="53"/>
        <v>3613/5171/2956/11001/0/0/0/0/0</v>
      </c>
      <c r="K642" s="321" t="s">
        <v>566</v>
      </c>
      <c r="L642" s="201">
        <v>254592.5</v>
      </c>
      <c r="M642" s="201">
        <v>81412.59</v>
      </c>
      <c r="N642" s="201">
        <v>118117</v>
      </c>
      <c r="O642" s="201">
        <v>106940</v>
      </c>
      <c r="P642" s="201">
        <v>29372.7</v>
      </c>
      <c r="Q642" s="201">
        <v>20000</v>
      </c>
      <c r="R642" s="201">
        <v>20000</v>
      </c>
      <c r="S642" s="201">
        <v>10000</v>
      </c>
      <c r="T642" s="201"/>
      <c r="U642" s="403"/>
      <c r="V642" s="351"/>
    </row>
    <row r="643" spans="1:22" s="59" customFormat="1" outlineLevel="2" x14ac:dyDescent="0.25">
      <c r="A643" s="193">
        <v>3613</v>
      </c>
      <c r="B643" s="193">
        <v>5169</v>
      </c>
      <c r="C643" s="193">
        <v>2956</v>
      </c>
      <c r="D643" s="193">
        <v>11001</v>
      </c>
      <c r="E643" s="193">
        <v>0</v>
      </c>
      <c r="F643" s="194">
        <v>0</v>
      </c>
      <c r="G643" s="193">
        <v>0</v>
      </c>
      <c r="H643" s="193">
        <v>0</v>
      </c>
      <c r="I643" s="193">
        <v>0</v>
      </c>
      <c r="J643" s="321" t="str">
        <f t="shared" si="53"/>
        <v>3613/5169/2956/11001/0/0/0/0/0</v>
      </c>
      <c r="K643" s="321" t="s">
        <v>567</v>
      </c>
      <c r="L643" s="201">
        <v>50320.3</v>
      </c>
      <c r="M643" s="201">
        <v>59486.1</v>
      </c>
      <c r="N643" s="201">
        <v>62351.3</v>
      </c>
      <c r="O643" s="201">
        <v>61456.59</v>
      </c>
      <c r="P643" s="201">
        <v>48400</v>
      </c>
      <c r="Q643" s="201">
        <v>60000</v>
      </c>
      <c r="R643" s="201">
        <v>60000</v>
      </c>
      <c r="S643" s="201">
        <v>50000</v>
      </c>
      <c r="T643" s="201"/>
      <c r="U643" s="403"/>
      <c r="V643" s="351"/>
    </row>
    <row r="644" spans="1:22" s="59" customFormat="1" outlineLevel="2" x14ac:dyDescent="0.25">
      <c r="A644" s="187">
        <v>3613</v>
      </c>
      <c r="B644" s="187">
        <v>5139</v>
      </c>
      <c r="C644" s="187">
        <v>2956</v>
      </c>
      <c r="D644" s="187">
        <v>11630</v>
      </c>
      <c r="E644" s="187">
        <v>0</v>
      </c>
      <c r="F644" s="187">
        <v>0</v>
      </c>
      <c r="G644" s="187">
        <v>0</v>
      </c>
      <c r="H644" s="187">
        <v>0</v>
      </c>
      <c r="I644" s="187">
        <v>0</v>
      </c>
      <c r="J644" s="327" t="str">
        <f t="shared" si="53"/>
        <v>3613/5139/2956/11630/0/0/0/0/0</v>
      </c>
      <c r="K644" s="327" t="s">
        <v>3755</v>
      </c>
      <c r="L644" s="200"/>
      <c r="M644" s="200"/>
      <c r="N644" s="200"/>
      <c r="O644" s="200">
        <v>360</v>
      </c>
      <c r="P644" s="200">
        <v>1871.5</v>
      </c>
      <c r="Q644" s="200">
        <v>500</v>
      </c>
      <c r="R644" s="200">
        <v>500</v>
      </c>
      <c r="S644" s="201"/>
      <c r="T644" s="201"/>
      <c r="U644" s="403"/>
      <c r="V644" s="351"/>
    </row>
    <row r="645" spans="1:22" s="59" customFormat="1" outlineLevel="2" x14ac:dyDescent="0.25">
      <c r="A645" s="187">
        <v>3613</v>
      </c>
      <c r="B645" s="187">
        <v>5123</v>
      </c>
      <c r="C645" s="187">
        <v>2956</v>
      </c>
      <c r="D645" s="187">
        <v>11630</v>
      </c>
      <c r="E645" s="187">
        <v>0</v>
      </c>
      <c r="F645" s="187">
        <v>0</v>
      </c>
      <c r="G645" s="187">
        <v>0</v>
      </c>
      <c r="H645" s="187">
        <v>0</v>
      </c>
      <c r="I645" s="187">
        <v>0</v>
      </c>
      <c r="J645" s="327" t="str">
        <f t="shared" si="53"/>
        <v>3613/5123/2956/11630/0/0/0/0/0</v>
      </c>
      <c r="K645" s="327" t="s">
        <v>3753</v>
      </c>
      <c r="L645" s="200"/>
      <c r="M645" s="200"/>
      <c r="N645" s="200"/>
      <c r="O645" s="200">
        <v>26062.19</v>
      </c>
      <c r="P645" s="200"/>
      <c r="Q645" s="200"/>
      <c r="R645" s="200">
        <v>31549</v>
      </c>
      <c r="S645" s="201"/>
      <c r="T645" s="201"/>
      <c r="U645" s="403"/>
      <c r="V645" s="351"/>
    </row>
    <row r="646" spans="1:22" s="59" customFormat="1" outlineLevel="2" x14ac:dyDescent="0.25">
      <c r="A646" s="193">
        <v>3613</v>
      </c>
      <c r="B646" s="193">
        <v>5171</v>
      </c>
      <c r="C646" s="193">
        <v>2956</v>
      </c>
      <c r="D646" s="193">
        <v>11630</v>
      </c>
      <c r="E646" s="193">
        <v>0</v>
      </c>
      <c r="F646" s="194">
        <v>0</v>
      </c>
      <c r="G646" s="193">
        <v>0</v>
      </c>
      <c r="H646" s="193">
        <v>0</v>
      </c>
      <c r="I646" s="193">
        <v>0</v>
      </c>
      <c r="J646" s="321" t="str">
        <f t="shared" si="53"/>
        <v>3613/5171/2956/11630/0/0/0/0/0</v>
      </c>
      <c r="K646" s="321" t="s">
        <v>568</v>
      </c>
      <c r="L646" s="201">
        <f>110442.65+470</f>
        <v>110912.65</v>
      </c>
      <c r="M646" s="201">
        <f>87996.63+775+1960</f>
        <v>90731.63</v>
      </c>
      <c r="N646" s="201">
        <v>120131.87</v>
      </c>
      <c r="O646" s="201">
        <v>205379.46</v>
      </c>
      <c r="P646" s="201">
        <v>195024.72</v>
      </c>
      <c r="Q646" s="201">
        <v>50000</v>
      </c>
      <c r="R646" s="201">
        <v>100000</v>
      </c>
      <c r="S646" s="201">
        <v>20000</v>
      </c>
      <c r="T646" s="201"/>
      <c r="U646" s="403"/>
      <c r="V646" s="351"/>
    </row>
    <row r="647" spans="1:22" s="59" customFormat="1" outlineLevel="2" x14ac:dyDescent="0.25">
      <c r="A647" s="193">
        <v>3613</v>
      </c>
      <c r="B647" s="193">
        <v>5169</v>
      </c>
      <c r="C647" s="193">
        <v>2956</v>
      </c>
      <c r="D647" s="193">
        <v>11630</v>
      </c>
      <c r="E647" s="193">
        <v>0</v>
      </c>
      <c r="F647" s="194">
        <v>0</v>
      </c>
      <c r="G647" s="193">
        <v>0</v>
      </c>
      <c r="H647" s="193">
        <v>0</v>
      </c>
      <c r="I647" s="193">
        <v>0</v>
      </c>
      <c r="J647" s="321" t="str">
        <f t="shared" si="53"/>
        <v>3613/5169/2956/11630/0/0/0/0/0</v>
      </c>
      <c r="K647" s="321" t="s">
        <v>569</v>
      </c>
      <c r="L647" s="201">
        <v>648274.56999999995</v>
      </c>
      <c r="M647" s="201">
        <v>128801.24</v>
      </c>
      <c r="N647" s="201">
        <v>135568.22</v>
      </c>
      <c r="O647" s="201">
        <v>259978.77</v>
      </c>
      <c r="P647" s="201">
        <v>329358.5</v>
      </c>
      <c r="Q647" s="201">
        <v>150500</v>
      </c>
      <c r="R647" s="201">
        <v>142151</v>
      </c>
      <c r="S647" s="201">
        <v>185000</v>
      </c>
      <c r="T647" s="201"/>
      <c r="U647" s="403"/>
      <c r="V647" s="351"/>
    </row>
    <row r="648" spans="1:22" s="59" customFormat="1" outlineLevel="1" x14ac:dyDescent="0.25">
      <c r="A648" s="491"/>
      <c r="B648" s="491"/>
      <c r="C648" s="499" t="s">
        <v>5014</v>
      </c>
      <c r="D648" s="491"/>
      <c r="E648" s="491"/>
      <c r="F648" s="492"/>
      <c r="G648" s="491"/>
      <c r="H648" s="491"/>
      <c r="I648" s="491"/>
      <c r="J648" s="493">
        <v>2956</v>
      </c>
      <c r="K648" s="493" t="str">
        <f>VLOOKUP(J648,orJ_správce_telefon_mail!A:B,2,0)</f>
        <v xml:space="preserve">Odbor správy majetku - Ing. Maternová - Oddělení správy nemovitostí </v>
      </c>
      <c r="L648" s="494">
        <f t="shared" ref="L648:T648" si="54">SUBTOTAL(9,L592:L647)</f>
        <v>9840136.2700000014</v>
      </c>
      <c r="M648" s="494">
        <f t="shared" si="54"/>
        <v>12744432.310000001</v>
      </c>
      <c r="N648" s="494">
        <f t="shared" si="54"/>
        <v>10392870.930000002</v>
      </c>
      <c r="O648" s="494">
        <f t="shared" si="54"/>
        <v>9250351.0900000017</v>
      </c>
      <c r="P648" s="494">
        <f t="shared" si="54"/>
        <v>11306561.91</v>
      </c>
      <c r="Q648" s="494">
        <f t="shared" si="54"/>
        <v>7750400</v>
      </c>
      <c r="R648" s="494">
        <f t="shared" si="54"/>
        <v>11504016.76</v>
      </c>
      <c r="S648" s="494">
        <f t="shared" si="54"/>
        <v>8691782</v>
      </c>
      <c r="T648" s="494">
        <f t="shared" si="54"/>
        <v>4550000</v>
      </c>
      <c r="U648" s="541"/>
      <c r="V648" s="351"/>
    </row>
    <row r="649" spans="1:22" s="59" customFormat="1" outlineLevel="2" x14ac:dyDescent="0.25">
      <c r="A649" s="193">
        <v>3729</v>
      </c>
      <c r="B649" s="193">
        <v>5169</v>
      </c>
      <c r="C649" s="193">
        <v>2960</v>
      </c>
      <c r="D649" s="193">
        <v>0</v>
      </c>
      <c r="E649" s="193">
        <v>0</v>
      </c>
      <c r="F649" s="194">
        <v>0</v>
      </c>
      <c r="G649" s="193">
        <v>0</v>
      </c>
      <c r="H649" s="193">
        <v>4</v>
      </c>
      <c r="I649" s="193">
        <v>0</v>
      </c>
      <c r="J649" s="321" t="str">
        <f>CONCATENATE(A649,"/",B649,"/",C649,"/",D649,"/",E649,"/",F649,"/",G649,"/",H649,"/",I649)</f>
        <v>3729/5169/2960/0/0/0/0/4/0</v>
      </c>
      <c r="K649" s="321" t="s">
        <v>298</v>
      </c>
      <c r="L649" s="201"/>
      <c r="M649" s="201"/>
      <c r="N649" s="201"/>
      <c r="O649" s="201"/>
      <c r="P649" s="201"/>
      <c r="Q649" s="201">
        <v>3000</v>
      </c>
      <c r="R649" s="201">
        <v>3000</v>
      </c>
      <c r="S649" s="201">
        <v>3000</v>
      </c>
      <c r="T649" s="201"/>
      <c r="U649" s="403" t="s">
        <v>5128</v>
      </c>
      <c r="V649" s="351"/>
    </row>
    <row r="650" spans="1:22" s="59" customFormat="1" outlineLevel="2" x14ac:dyDescent="0.25">
      <c r="A650" s="193">
        <v>5212</v>
      </c>
      <c r="B650" s="193">
        <v>5169</v>
      </c>
      <c r="C650" s="193">
        <v>2960</v>
      </c>
      <c r="D650" s="193">
        <v>62005</v>
      </c>
      <c r="E650" s="193">
        <v>0</v>
      </c>
      <c r="F650" s="194">
        <v>0</v>
      </c>
      <c r="G650" s="193">
        <v>0</v>
      </c>
      <c r="H650" s="193">
        <v>0</v>
      </c>
      <c r="I650" s="193">
        <v>0</v>
      </c>
      <c r="J650" s="321" t="s">
        <v>4765</v>
      </c>
      <c r="K650" s="321" t="s">
        <v>4718</v>
      </c>
      <c r="L650" s="201"/>
      <c r="M650" s="201"/>
      <c r="N650" s="201"/>
      <c r="O650" s="201"/>
      <c r="P650" s="201"/>
      <c r="Q650" s="201"/>
      <c r="R650" s="201">
        <v>12375</v>
      </c>
      <c r="S650" s="201">
        <v>12375</v>
      </c>
      <c r="T650" s="201"/>
      <c r="U650" s="403"/>
      <c r="V650" s="351"/>
    </row>
    <row r="651" spans="1:22" s="59" customFormat="1" outlineLevel="2" x14ac:dyDescent="0.25">
      <c r="A651" s="193">
        <v>1014</v>
      </c>
      <c r="B651" s="193">
        <v>5169</v>
      </c>
      <c r="C651" s="193">
        <v>2960</v>
      </c>
      <c r="D651" s="193">
        <v>0</v>
      </c>
      <c r="E651" s="193">
        <v>0</v>
      </c>
      <c r="F651" s="194">
        <v>0</v>
      </c>
      <c r="G651" s="193">
        <v>0</v>
      </c>
      <c r="H651" s="193">
        <v>0</v>
      </c>
      <c r="I651" s="193">
        <v>0</v>
      </c>
      <c r="J651" s="321" t="str">
        <f t="shared" ref="J651:J657" si="55">CONCATENATE(A651,"/",B651,"/",C651,"/",D651,"/",E651,"/",F651,"/",G651,"/",H651,"/",I651)</f>
        <v>1014/5169/2960/0/0/0/0/0/0</v>
      </c>
      <c r="K651" s="321" t="s">
        <v>299</v>
      </c>
      <c r="L651" s="201">
        <v>195200</v>
      </c>
      <c r="M651" s="201">
        <v>169998.86</v>
      </c>
      <c r="N651" s="201">
        <v>224998.78</v>
      </c>
      <c r="O651" s="201">
        <v>224998.78</v>
      </c>
      <c r="P651" s="201">
        <v>214992.94</v>
      </c>
      <c r="Q651" s="201">
        <v>225000</v>
      </c>
      <c r="R651" s="201">
        <v>225000</v>
      </c>
      <c r="S651" s="201">
        <v>225000</v>
      </c>
      <c r="T651" s="201"/>
      <c r="U651" s="403"/>
      <c r="V651" s="351"/>
    </row>
    <row r="652" spans="1:22" s="59" customFormat="1" outlineLevel="2" x14ac:dyDescent="0.25">
      <c r="A652" s="193">
        <v>3421</v>
      </c>
      <c r="B652" s="193">
        <v>5139</v>
      </c>
      <c r="C652" s="193">
        <v>2960</v>
      </c>
      <c r="D652" s="193">
        <v>0</v>
      </c>
      <c r="E652" s="193">
        <v>0</v>
      </c>
      <c r="F652" s="194">
        <v>0</v>
      </c>
      <c r="G652" s="193">
        <v>0</v>
      </c>
      <c r="H652" s="193">
        <v>0</v>
      </c>
      <c r="I652" s="193">
        <v>0</v>
      </c>
      <c r="J652" s="321" t="str">
        <f t="shared" si="55"/>
        <v>3421/5139/2960/0/0/0/0/0/0</v>
      </c>
      <c r="K652" s="321" t="s">
        <v>300</v>
      </c>
      <c r="L652" s="201">
        <v>1905.75</v>
      </c>
      <c r="M652" s="201">
        <v>2772.4</v>
      </c>
      <c r="N652" s="201"/>
      <c r="O652" s="201">
        <v>4936.8</v>
      </c>
      <c r="P652" s="201"/>
      <c r="Q652" s="201">
        <v>20000</v>
      </c>
      <c r="R652" s="201">
        <v>20000</v>
      </c>
      <c r="S652" s="201">
        <v>20000</v>
      </c>
      <c r="T652" s="201"/>
      <c r="U652" s="403"/>
      <c r="V652" s="351"/>
    </row>
    <row r="653" spans="1:22" s="59" customFormat="1" outlineLevel="2" x14ac:dyDescent="0.25">
      <c r="A653" s="193">
        <v>3421</v>
      </c>
      <c r="B653" s="193">
        <v>5169</v>
      </c>
      <c r="C653" s="193">
        <v>2960</v>
      </c>
      <c r="D653" s="193">
        <v>0</v>
      </c>
      <c r="E653" s="193">
        <v>0</v>
      </c>
      <c r="F653" s="194">
        <v>0</v>
      </c>
      <c r="G653" s="193">
        <v>0</v>
      </c>
      <c r="H653" s="193">
        <v>0</v>
      </c>
      <c r="I653" s="193">
        <v>0</v>
      </c>
      <c r="J653" s="321" t="str">
        <f t="shared" si="55"/>
        <v>3421/5169/2960/0/0/0/0/0/0</v>
      </c>
      <c r="K653" s="321" t="s">
        <v>301</v>
      </c>
      <c r="L653" s="201">
        <v>22902</v>
      </c>
      <c r="M653" s="201"/>
      <c r="N653" s="201"/>
      <c r="O653" s="201"/>
      <c r="P653" s="201">
        <v>24928</v>
      </c>
      <c r="Q653" s="201">
        <v>5000</v>
      </c>
      <c r="R653" s="201">
        <v>5000</v>
      </c>
      <c r="S653" s="201">
        <v>10000</v>
      </c>
      <c r="T653" s="201"/>
      <c r="U653" s="403"/>
      <c r="V653" s="351"/>
    </row>
    <row r="654" spans="1:22" s="59" customFormat="1" outlineLevel="2" x14ac:dyDescent="0.25">
      <c r="A654" s="193">
        <v>3421</v>
      </c>
      <c r="B654" s="193">
        <v>5171</v>
      </c>
      <c r="C654" s="193">
        <v>2960</v>
      </c>
      <c r="D654" s="193">
        <v>0</v>
      </c>
      <c r="E654" s="193">
        <v>0</v>
      </c>
      <c r="F654" s="194">
        <v>0</v>
      </c>
      <c r="G654" s="193">
        <v>0</v>
      </c>
      <c r="H654" s="193">
        <v>0</v>
      </c>
      <c r="I654" s="193">
        <v>0</v>
      </c>
      <c r="J654" s="321" t="str">
        <f t="shared" si="55"/>
        <v>3421/5171/2960/0/0/0/0/0/0</v>
      </c>
      <c r="K654" s="321" t="s">
        <v>302</v>
      </c>
      <c r="L654" s="201"/>
      <c r="M654" s="201">
        <v>9399.2800000000007</v>
      </c>
      <c r="N654" s="201">
        <v>54683.11</v>
      </c>
      <c r="O654" s="201"/>
      <c r="P654" s="201">
        <v>6050</v>
      </c>
      <c r="Q654" s="201">
        <v>5000</v>
      </c>
      <c r="R654" s="201">
        <v>5000</v>
      </c>
      <c r="S654" s="201">
        <v>10000</v>
      </c>
      <c r="T654" s="201"/>
      <c r="U654" s="403"/>
      <c r="V654" s="351"/>
    </row>
    <row r="655" spans="1:22" s="59" customFormat="1" outlineLevel="2" x14ac:dyDescent="0.25">
      <c r="A655" s="193">
        <v>3639</v>
      </c>
      <c r="B655" s="193">
        <v>5171</v>
      </c>
      <c r="C655" s="193">
        <v>2960</v>
      </c>
      <c r="D655" s="193">
        <v>69296</v>
      </c>
      <c r="E655" s="193">
        <v>0</v>
      </c>
      <c r="F655" s="194">
        <v>0</v>
      </c>
      <c r="G655" s="193">
        <v>0</v>
      </c>
      <c r="H655" s="193">
        <v>0</v>
      </c>
      <c r="I655" s="193">
        <v>0</v>
      </c>
      <c r="J655" s="321" t="str">
        <f t="shared" si="55"/>
        <v>3639/5171/2960/69296/0/0/0/0/0</v>
      </c>
      <c r="K655" s="321" t="s">
        <v>303</v>
      </c>
      <c r="L655" s="201">
        <v>11065.3</v>
      </c>
      <c r="M655" s="201">
        <v>148860</v>
      </c>
      <c r="N655" s="201">
        <v>40346.9</v>
      </c>
      <c r="O655" s="201"/>
      <c r="P655" s="201">
        <v>3000</v>
      </c>
      <c r="Q655" s="201">
        <v>10000</v>
      </c>
      <c r="R655" s="201">
        <v>23740</v>
      </c>
      <c r="S655" s="201">
        <v>10000</v>
      </c>
      <c r="T655" s="201"/>
      <c r="U655" s="403"/>
      <c r="V655" s="351"/>
    </row>
    <row r="656" spans="1:22" s="59" customFormat="1" outlineLevel="2" x14ac:dyDescent="0.25">
      <c r="A656" s="193">
        <v>3632</v>
      </c>
      <c r="B656" s="193">
        <v>5909</v>
      </c>
      <c r="C656" s="193">
        <v>2960</v>
      </c>
      <c r="D656" s="193">
        <v>0</v>
      </c>
      <c r="E656" s="193">
        <v>0</v>
      </c>
      <c r="F656" s="194">
        <v>0</v>
      </c>
      <c r="G656" s="193">
        <v>0</v>
      </c>
      <c r="H656" s="193">
        <v>0</v>
      </c>
      <c r="I656" s="193">
        <v>0</v>
      </c>
      <c r="J656" s="321" t="str">
        <f t="shared" si="55"/>
        <v>3632/5909/2960/0/0/0/0/0/0</v>
      </c>
      <c r="K656" s="321" t="s">
        <v>304</v>
      </c>
      <c r="L656" s="201">
        <v>10210</v>
      </c>
      <c r="M656" s="201">
        <v>1372</v>
      </c>
      <c r="N656" s="201">
        <v>5793</v>
      </c>
      <c r="O656" s="201">
        <v>11134</v>
      </c>
      <c r="P656" s="201">
        <v>7771</v>
      </c>
      <c r="Q656" s="201">
        <v>7000</v>
      </c>
      <c r="R656" s="201">
        <v>7000</v>
      </c>
      <c r="S656" s="201">
        <v>10000</v>
      </c>
      <c r="T656" s="201"/>
      <c r="U656" s="403"/>
      <c r="V656" s="351"/>
    </row>
    <row r="657" spans="1:22" s="59" customFormat="1" outlineLevel="2" x14ac:dyDescent="0.25">
      <c r="A657" s="193">
        <v>3632</v>
      </c>
      <c r="B657" s="193">
        <v>5139</v>
      </c>
      <c r="C657" s="193">
        <v>2960</v>
      </c>
      <c r="D657" s="193">
        <v>0</v>
      </c>
      <c r="E657" s="193">
        <v>0</v>
      </c>
      <c r="F657" s="194">
        <v>0</v>
      </c>
      <c r="G657" s="193">
        <v>0</v>
      </c>
      <c r="H657" s="193">
        <v>0</v>
      </c>
      <c r="I657" s="193">
        <v>0</v>
      </c>
      <c r="J657" s="321" t="str">
        <f t="shared" si="55"/>
        <v>3632/5139/2960/0/0/0/0/0/0</v>
      </c>
      <c r="K657" s="321" t="s">
        <v>305</v>
      </c>
      <c r="L657" s="201">
        <v>15157</v>
      </c>
      <c r="M657" s="201">
        <v>17595</v>
      </c>
      <c r="N657" s="201">
        <v>12800</v>
      </c>
      <c r="O657" s="201">
        <v>3790</v>
      </c>
      <c r="P657" s="201">
        <v>1100</v>
      </c>
      <c r="Q657" s="201">
        <v>20000</v>
      </c>
      <c r="R657" s="201">
        <v>20000</v>
      </c>
      <c r="S657" s="201">
        <v>20000</v>
      </c>
      <c r="T657" s="201"/>
      <c r="U657" s="403"/>
      <c r="V657" s="351"/>
    </row>
    <row r="658" spans="1:22" s="59" customFormat="1" outlineLevel="2" x14ac:dyDescent="0.25">
      <c r="A658" s="193">
        <v>3632</v>
      </c>
      <c r="B658" s="193">
        <v>5171</v>
      </c>
      <c r="C658" s="193">
        <v>2960</v>
      </c>
      <c r="D658" s="193">
        <v>0</v>
      </c>
      <c r="E658" s="193">
        <v>0</v>
      </c>
      <c r="F658" s="194">
        <v>0</v>
      </c>
      <c r="G658" s="193">
        <v>0</v>
      </c>
      <c r="H658" s="193">
        <v>1</v>
      </c>
      <c r="I658" s="193">
        <v>0</v>
      </c>
      <c r="J658" s="321" t="s">
        <v>4992</v>
      </c>
      <c r="K658" s="321" t="s">
        <v>4975</v>
      </c>
      <c r="L658" s="201"/>
      <c r="M658" s="201"/>
      <c r="N658" s="201"/>
      <c r="O658" s="201"/>
      <c r="P658" s="201"/>
      <c r="Q658" s="201"/>
      <c r="R658" s="201"/>
      <c r="S658" s="201">
        <v>200000</v>
      </c>
      <c r="T658" s="201"/>
      <c r="U658" s="403" t="s">
        <v>4976</v>
      </c>
      <c r="V658" s="351"/>
    </row>
    <row r="659" spans="1:22" s="59" customFormat="1" outlineLevel="2" x14ac:dyDescent="0.25">
      <c r="A659" s="193">
        <v>3632</v>
      </c>
      <c r="B659" s="193">
        <v>5171</v>
      </c>
      <c r="C659" s="193">
        <v>2960</v>
      </c>
      <c r="D659" s="193">
        <v>0</v>
      </c>
      <c r="E659" s="193">
        <v>0</v>
      </c>
      <c r="F659" s="194">
        <v>0</v>
      </c>
      <c r="G659" s="193">
        <v>0</v>
      </c>
      <c r="H659" s="193">
        <v>0</v>
      </c>
      <c r="I659" s="193">
        <v>0</v>
      </c>
      <c r="J659" s="321" t="str">
        <f t="shared" ref="J659:J666" si="56">CONCATENATE(A659,"/",B659,"/",C659,"/",D659,"/",E659,"/",F659,"/",G659,"/",H659,"/",I659)</f>
        <v>3632/5171/2960/0/0/0/0/0/0</v>
      </c>
      <c r="K659" s="321" t="s">
        <v>4994</v>
      </c>
      <c r="L659" s="201">
        <f>261602+68845</f>
        <v>330447</v>
      </c>
      <c r="M659" s="201">
        <f>345576+6400</f>
        <v>351976</v>
      </c>
      <c r="N659" s="201">
        <f>668549+42436</f>
        <v>710985</v>
      </c>
      <c r="O659" s="201">
        <v>65340</v>
      </c>
      <c r="P659" s="201">
        <v>18902.62</v>
      </c>
      <c r="Q659" s="201">
        <v>200000</v>
      </c>
      <c r="R659" s="201">
        <v>200000</v>
      </c>
      <c r="S659" s="201">
        <v>200000</v>
      </c>
      <c r="T659" s="201"/>
      <c r="U659" s="403"/>
      <c r="V659" s="351"/>
    </row>
    <row r="660" spans="1:22" s="59" customFormat="1" outlineLevel="2" x14ac:dyDescent="0.25">
      <c r="A660" s="193">
        <v>3632</v>
      </c>
      <c r="B660" s="193">
        <v>5169</v>
      </c>
      <c r="C660" s="193">
        <v>2960</v>
      </c>
      <c r="D660" s="193">
        <v>0</v>
      </c>
      <c r="E660" s="193">
        <v>0</v>
      </c>
      <c r="F660" s="194">
        <v>0</v>
      </c>
      <c r="G660" s="193">
        <v>0</v>
      </c>
      <c r="H660" s="193">
        <v>0</v>
      </c>
      <c r="I660" s="193">
        <v>0</v>
      </c>
      <c r="J660" s="321" t="str">
        <f t="shared" si="56"/>
        <v>3632/5169/2960/0/0/0/0/0/0</v>
      </c>
      <c r="K660" s="321" t="s">
        <v>306</v>
      </c>
      <c r="L660" s="201">
        <v>25392</v>
      </c>
      <c r="M660" s="201">
        <v>35000</v>
      </c>
      <c r="N660" s="201">
        <v>18205</v>
      </c>
      <c r="O660" s="201">
        <v>32000</v>
      </c>
      <c r="P660" s="201">
        <v>95000</v>
      </c>
      <c r="Q660" s="201">
        <v>200000</v>
      </c>
      <c r="R660" s="201">
        <v>200000</v>
      </c>
      <c r="S660" s="201">
        <v>200000</v>
      </c>
      <c r="T660" s="201"/>
      <c r="U660" s="403"/>
      <c r="V660" s="351"/>
    </row>
    <row r="661" spans="1:22" s="59" customFormat="1" outlineLevel="2" x14ac:dyDescent="0.25">
      <c r="A661" s="449">
        <v>3632</v>
      </c>
      <c r="B661" s="449">
        <v>5166</v>
      </c>
      <c r="C661" s="449">
        <v>2960</v>
      </c>
      <c r="D661" s="449">
        <v>0</v>
      </c>
      <c r="E661" s="449">
        <v>0</v>
      </c>
      <c r="F661" s="449">
        <v>0</v>
      </c>
      <c r="G661" s="449">
        <v>0</v>
      </c>
      <c r="H661" s="449">
        <v>0</v>
      </c>
      <c r="I661" s="449">
        <v>0</v>
      </c>
      <c r="J661" s="321" t="str">
        <f t="shared" si="56"/>
        <v>3632/5166/2960/0/0/0/0/0/0</v>
      </c>
      <c r="K661" s="447" t="s">
        <v>4716</v>
      </c>
      <c r="L661" s="201"/>
      <c r="M661" s="201"/>
      <c r="N661" s="201"/>
      <c r="O661" s="201"/>
      <c r="P661" s="201"/>
      <c r="Q661" s="201"/>
      <c r="R661" s="201">
        <v>23000</v>
      </c>
      <c r="S661" s="201">
        <v>50000</v>
      </c>
      <c r="T661" s="201"/>
      <c r="U661" s="403" t="s">
        <v>4974</v>
      </c>
      <c r="V661" s="351"/>
    </row>
    <row r="662" spans="1:22" s="59" customFormat="1" outlineLevel="2" x14ac:dyDescent="0.25">
      <c r="A662" s="193">
        <v>3632</v>
      </c>
      <c r="B662" s="193">
        <v>5169</v>
      </c>
      <c r="C662" s="193">
        <v>2960</v>
      </c>
      <c r="D662" s="193">
        <v>0</v>
      </c>
      <c r="E662" s="193">
        <v>0</v>
      </c>
      <c r="F662" s="194">
        <v>0</v>
      </c>
      <c r="G662" s="193">
        <v>0</v>
      </c>
      <c r="H662" s="193">
        <v>4</v>
      </c>
      <c r="I662" s="193">
        <v>0</v>
      </c>
      <c r="J662" s="321" t="str">
        <f t="shared" si="56"/>
        <v>3632/5169/2960/0/0/0/0/4/0</v>
      </c>
      <c r="K662" s="321" t="s">
        <v>307</v>
      </c>
      <c r="L662" s="201">
        <v>0</v>
      </c>
      <c r="M662" s="201"/>
      <c r="N662" s="201"/>
      <c r="O662" s="201"/>
      <c r="P662" s="201"/>
      <c r="Q662" s="201">
        <v>20000</v>
      </c>
      <c r="R662" s="201">
        <v>20000</v>
      </c>
      <c r="S662" s="201">
        <v>20000</v>
      </c>
      <c r="T662" s="201"/>
      <c r="U662" s="403"/>
      <c r="V662" s="351"/>
    </row>
    <row r="663" spans="1:22" s="59" customFormat="1" outlineLevel="2" x14ac:dyDescent="0.25">
      <c r="A663" s="193">
        <v>2143</v>
      </c>
      <c r="B663" s="193">
        <v>5139</v>
      </c>
      <c r="C663" s="193">
        <v>2960</v>
      </c>
      <c r="D663" s="193">
        <v>0</v>
      </c>
      <c r="E663" s="193">
        <v>0</v>
      </c>
      <c r="F663" s="194">
        <v>0</v>
      </c>
      <c r="G663" s="193">
        <v>0</v>
      </c>
      <c r="H663" s="193">
        <v>0</v>
      </c>
      <c r="I663" s="193">
        <v>0</v>
      </c>
      <c r="J663" s="321" t="str">
        <f t="shared" si="56"/>
        <v>2143/5139/2960/0/0/0/0/0/0</v>
      </c>
      <c r="K663" s="321" t="s">
        <v>308</v>
      </c>
      <c r="L663" s="201">
        <v>0</v>
      </c>
      <c r="M663" s="201"/>
      <c r="N663" s="201"/>
      <c r="O663" s="201"/>
      <c r="P663" s="201"/>
      <c r="Q663" s="201">
        <v>5000</v>
      </c>
      <c r="R663" s="201">
        <v>5000</v>
      </c>
      <c r="S663" s="201">
        <v>50000</v>
      </c>
      <c r="T663" s="201"/>
      <c r="U663" s="403" t="s">
        <v>4951</v>
      </c>
      <c r="V663" s="351"/>
    </row>
    <row r="664" spans="1:22" s="59" customFormat="1" outlineLevel="2" x14ac:dyDescent="0.25">
      <c r="A664" s="193">
        <v>3639</v>
      </c>
      <c r="B664" s="193">
        <v>5139</v>
      </c>
      <c r="C664" s="193">
        <v>2960</v>
      </c>
      <c r="D664" s="193">
        <v>0</v>
      </c>
      <c r="E664" s="193">
        <v>0</v>
      </c>
      <c r="F664" s="194">
        <v>0</v>
      </c>
      <c r="G664" s="193">
        <v>0</v>
      </c>
      <c r="H664" s="193">
        <v>0</v>
      </c>
      <c r="I664" s="193">
        <v>0</v>
      </c>
      <c r="J664" s="321" t="str">
        <f t="shared" si="56"/>
        <v>3639/5139/2960/0/0/0/0/0/0</v>
      </c>
      <c r="K664" s="321" t="s">
        <v>4462</v>
      </c>
      <c r="L664" s="201">
        <v>450</v>
      </c>
      <c r="M664" s="201">
        <v>860</v>
      </c>
      <c r="N664" s="201">
        <v>992.2</v>
      </c>
      <c r="O664" s="201">
        <v>1250</v>
      </c>
      <c r="P664" s="201"/>
      <c r="Q664" s="201">
        <v>20000</v>
      </c>
      <c r="R664" s="201">
        <v>53283</v>
      </c>
      <c r="S664" s="201">
        <v>30000</v>
      </c>
      <c r="T664" s="201"/>
      <c r="U664" s="403"/>
      <c r="V664" s="351"/>
    </row>
    <row r="665" spans="1:22" s="59" customFormat="1" outlineLevel="2" x14ac:dyDescent="0.25">
      <c r="A665" s="193">
        <v>3639</v>
      </c>
      <c r="B665" s="193">
        <v>5166</v>
      </c>
      <c r="C665" s="193">
        <v>2960</v>
      </c>
      <c r="D665" s="193">
        <v>0</v>
      </c>
      <c r="E665" s="193">
        <v>0</v>
      </c>
      <c r="F665" s="194">
        <v>0</v>
      </c>
      <c r="G665" s="193">
        <v>0</v>
      </c>
      <c r="H665" s="193">
        <v>0</v>
      </c>
      <c r="I665" s="193">
        <v>0</v>
      </c>
      <c r="J665" s="321" t="str">
        <f t="shared" si="56"/>
        <v>3639/5166/2960/0/0/0/0/0/0</v>
      </c>
      <c r="K665" s="321" t="s">
        <v>4463</v>
      </c>
      <c r="L665" s="201">
        <v>0</v>
      </c>
      <c r="M665" s="201"/>
      <c r="N665" s="201"/>
      <c r="O665" s="201">
        <v>13000</v>
      </c>
      <c r="P665" s="201">
        <v>1815</v>
      </c>
      <c r="Q665" s="201">
        <v>10000</v>
      </c>
      <c r="R665" s="201">
        <v>1506</v>
      </c>
      <c r="S665" s="201">
        <v>20000</v>
      </c>
      <c r="T665" s="201"/>
      <c r="U665" s="403"/>
      <c r="V665" s="351"/>
    </row>
    <row r="666" spans="1:22" s="59" customFormat="1" outlineLevel="2" x14ac:dyDescent="0.25">
      <c r="A666" s="193">
        <v>3639</v>
      </c>
      <c r="B666" s="193">
        <v>5169</v>
      </c>
      <c r="C666" s="193">
        <v>2960</v>
      </c>
      <c r="D666" s="193">
        <v>0</v>
      </c>
      <c r="E666" s="193">
        <v>0</v>
      </c>
      <c r="F666" s="194">
        <v>0</v>
      </c>
      <c r="G666" s="193">
        <v>0</v>
      </c>
      <c r="H666" s="193">
        <v>0</v>
      </c>
      <c r="I666" s="193">
        <v>0</v>
      </c>
      <c r="J666" s="321" t="str">
        <f t="shared" si="56"/>
        <v>3639/5169/2960/0/0/0/0/0/0</v>
      </c>
      <c r="K666" s="321" t="s">
        <v>309</v>
      </c>
      <c r="L666" s="201">
        <v>17095.2</v>
      </c>
      <c r="M666" s="201">
        <v>52084.05</v>
      </c>
      <c r="N666" s="201">
        <v>104289.83</v>
      </c>
      <c r="O666" s="201">
        <v>7041</v>
      </c>
      <c r="P666" s="201">
        <v>17520.8</v>
      </c>
      <c r="Q666" s="201">
        <v>50000</v>
      </c>
      <c r="R666" s="201">
        <v>79625</v>
      </c>
      <c r="S666" s="201"/>
      <c r="T666" s="201"/>
      <c r="U666" s="403" t="s">
        <v>5127</v>
      </c>
      <c r="V666" s="351"/>
    </row>
    <row r="667" spans="1:22" s="59" customFormat="1" outlineLevel="2" x14ac:dyDescent="0.25">
      <c r="A667" s="193">
        <v>3639</v>
      </c>
      <c r="B667" s="193">
        <v>5169</v>
      </c>
      <c r="C667" s="193">
        <v>2960</v>
      </c>
      <c r="D667" s="193">
        <v>0</v>
      </c>
      <c r="E667" s="193">
        <v>0</v>
      </c>
      <c r="F667" s="194">
        <v>0</v>
      </c>
      <c r="G667" s="193">
        <v>0</v>
      </c>
      <c r="H667" s="193">
        <v>2</v>
      </c>
      <c r="I667" s="193">
        <v>0</v>
      </c>
      <c r="J667" s="321" t="s">
        <v>4989</v>
      </c>
      <c r="K667" s="321" t="s">
        <v>309</v>
      </c>
      <c r="L667" s="201"/>
      <c r="M667" s="201"/>
      <c r="N667" s="201"/>
      <c r="O667" s="201"/>
      <c r="P667" s="201"/>
      <c r="Q667" s="201"/>
      <c r="R667" s="201"/>
      <c r="S667" s="201">
        <v>100000</v>
      </c>
      <c r="T667" s="201"/>
      <c r="U667" s="403"/>
      <c r="V667" s="351"/>
    </row>
    <row r="668" spans="1:22" s="59" customFormat="1" outlineLevel="2" x14ac:dyDescent="0.25">
      <c r="A668" s="187">
        <v>3639</v>
      </c>
      <c r="B668" s="187">
        <v>5169</v>
      </c>
      <c r="C668" s="187">
        <v>2960</v>
      </c>
      <c r="D668" s="187">
        <v>0</v>
      </c>
      <c r="E668" s="187">
        <v>0</v>
      </c>
      <c r="F668" s="187">
        <v>0</v>
      </c>
      <c r="G668" s="187">
        <v>0</v>
      </c>
      <c r="H668" s="187">
        <v>4</v>
      </c>
      <c r="I668" s="187">
        <v>0</v>
      </c>
      <c r="J668" s="327" t="str">
        <f>CONCATENATE(A668,"/",B668,"/",C668,"/",D668,"/",E668,"/",F668,"/",G668,"/",H668,"/",I668)</f>
        <v>3639/5169/2960/0/0/0/0/4/0</v>
      </c>
      <c r="K668" s="327" t="s">
        <v>3759</v>
      </c>
      <c r="L668" s="200"/>
      <c r="M668" s="200"/>
      <c r="N668" s="200"/>
      <c r="O668" s="200">
        <v>43172.9</v>
      </c>
      <c r="P668" s="200">
        <v>9196</v>
      </c>
      <c r="Q668" s="200">
        <v>10000</v>
      </c>
      <c r="R668" s="200">
        <v>10000</v>
      </c>
      <c r="S668" s="201">
        <v>30000</v>
      </c>
      <c r="T668" s="201"/>
      <c r="U668" s="403"/>
      <c r="V668" s="351"/>
    </row>
    <row r="669" spans="1:22" s="59" customFormat="1" outlineLevel="2" x14ac:dyDescent="0.25">
      <c r="A669" s="193">
        <v>2212</v>
      </c>
      <c r="B669" s="193">
        <v>5169</v>
      </c>
      <c r="C669" s="193">
        <v>2960</v>
      </c>
      <c r="D669" s="193">
        <v>0</v>
      </c>
      <c r="E669" s="193">
        <v>0</v>
      </c>
      <c r="F669" s="194">
        <v>0</v>
      </c>
      <c r="G669" s="193">
        <v>0</v>
      </c>
      <c r="H669" s="193">
        <v>0</v>
      </c>
      <c r="I669" s="193">
        <v>0</v>
      </c>
      <c r="J669" s="321" t="str">
        <f>CONCATENATE(A669,"/",B669,"/",C669,"/",D669,"/",E669,"/",F669,"/",G669,"/",H669,"/",I669)</f>
        <v>2212/5169/2960/0/0/0/0/0/0</v>
      </c>
      <c r="K669" s="321" t="s">
        <v>310</v>
      </c>
      <c r="L669" s="201">
        <v>28792</v>
      </c>
      <c r="M669" s="201">
        <v>17673</v>
      </c>
      <c r="N669" s="201">
        <v>19011</v>
      </c>
      <c r="O669" s="201">
        <v>26539.7</v>
      </c>
      <c r="P669" s="201">
        <v>37994</v>
      </c>
      <c r="Q669" s="201">
        <v>40000</v>
      </c>
      <c r="R669" s="201">
        <v>20000</v>
      </c>
      <c r="S669" s="201">
        <v>45000</v>
      </c>
      <c r="T669" s="201"/>
      <c r="U669" s="403" t="s">
        <v>4953</v>
      </c>
      <c r="V669" s="351"/>
    </row>
    <row r="670" spans="1:22" s="59" customFormat="1" outlineLevel="2" x14ac:dyDescent="0.25">
      <c r="A670" s="193">
        <v>2212</v>
      </c>
      <c r="B670" s="193">
        <v>5171</v>
      </c>
      <c r="C670" s="193">
        <v>2960</v>
      </c>
      <c r="D670" s="193">
        <v>20094</v>
      </c>
      <c r="E670" s="193">
        <v>0</v>
      </c>
      <c r="F670" s="194">
        <v>0</v>
      </c>
      <c r="G670" s="193">
        <v>0</v>
      </c>
      <c r="H670" s="193">
        <v>0</v>
      </c>
      <c r="I670" s="193">
        <v>0</v>
      </c>
      <c r="J670" s="321" t="s">
        <v>4766</v>
      </c>
      <c r="K670" s="321" t="s">
        <v>4715</v>
      </c>
      <c r="L670" s="201"/>
      <c r="M670" s="201"/>
      <c r="N670" s="201"/>
      <c r="O670" s="201"/>
      <c r="P670" s="201"/>
      <c r="Q670" s="201"/>
      <c r="R670" s="201">
        <v>181500</v>
      </c>
      <c r="S670" s="201">
        <v>181500</v>
      </c>
      <c r="T670" s="201"/>
      <c r="U670" s="403" t="s">
        <v>4955</v>
      </c>
      <c r="V670" s="351"/>
    </row>
    <row r="671" spans="1:22" s="59" customFormat="1" outlineLevel="2" x14ac:dyDescent="0.25">
      <c r="A671" s="209">
        <v>1014</v>
      </c>
      <c r="B671" s="209">
        <v>5222</v>
      </c>
      <c r="C671" s="209">
        <v>2960</v>
      </c>
      <c r="D671" s="209">
        <v>45588</v>
      </c>
      <c r="E671" s="209">
        <v>0</v>
      </c>
      <c r="F671" s="210">
        <v>0</v>
      </c>
      <c r="G671" s="209">
        <v>0</v>
      </c>
      <c r="H671" s="209">
        <v>0</v>
      </c>
      <c r="I671" s="209">
        <v>0</v>
      </c>
      <c r="J671" s="324" t="str">
        <f t="shared" ref="J671:J684" si="57">CONCATENATE(A671,"/",B671,"/",C671,"/",D671,"/",E671,"/",F671,"/",G671,"/",H671,"/",I671)</f>
        <v>1014/5222/2960/45588/0/0/0/0/0</v>
      </c>
      <c r="K671" s="324" t="s">
        <v>311</v>
      </c>
      <c r="L671" s="206">
        <v>100000</v>
      </c>
      <c r="M671" s="206">
        <v>100000</v>
      </c>
      <c r="N671" s="206">
        <v>50000</v>
      </c>
      <c r="O671" s="206">
        <v>50000</v>
      </c>
      <c r="P671" s="206">
        <v>50000</v>
      </c>
      <c r="Q671" s="206">
        <v>50000</v>
      </c>
      <c r="R671" s="206">
        <v>50000</v>
      </c>
      <c r="S671" s="206">
        <v>100000</v>
      </c>
      <c r="T671" s="206"/>
      <c r="U671" s="531" t="s">
        <v>4949</v>
      </c>
      <c r="V671" s="351"/>
    </row>
    <row r="672" spans="1:22" s="59" customFormat="1" outlineLevel="2" x14ac:dyDescent="0.25">
      <c r="A672" s="193">
        <v>3639</v>
      </c>
      <c r="B672" s="193">
        <v>5171</v>
      </c>
      <c r="C672" s="193">
        <v>2960</v>
      </c>
      <c r="D672" s="193">
        <v>0</v>
      </c>
      <c r="E672" s="193">
        <v>0</v>
      </c>
      <c r="F672" s="194">
        <v>0</v>
      </c>
      <c r="G672" s="193">
        <v>0</v>
      </c>
      <c r="H672" s="193">
        <v>4</v>
      </c>
      <c r="I672" s="193">
        <v>0</v>
      </c>
      <c r="J672" s="321" t="str">
        <f t="shared" si="57"/>
        <v>3639/5171/2960/0/0/0/0/4/0</v>
      </c>
      <c r="K672" s="321" t="s">
        <v>312</v>
      </c>
      <c r="L672" s="201">
        <v>35068</v>
      </c>
      <c r="M672" s="201">
        <v>93569</v>
      </c>
      <c r="N672" s="201">
        <v>151355</v>
      </c>
      <c r="O672" s="201">
        <v>14532</v>
      </c>
      <c r="P672" s="201">
        <v>9890</v>
      </c>
      <c r="Q672" s="201">
        <v>20000</v>
      </c>
      <c r="R672" s="201">
        <v>20000</v>
      </c>
      <c r="S672" s="201">
        <v>216294</v>
      </c>
      <c r="T672" s="201">
        <v>20000</v>
      </c>
      <c r="U672" s="403"/>
      <c r="V672" s="351"/>
    </row>
    <row r="673" spans="1:22" s="59" customFormat="1" outlineLevel="2" x14ac:dyDescent="0.25">
      <c r="A673" s="193">
        <v>3639</v>
      </c>
      <c r="B673" s="193">
        <v>5169</v>
      </c>
      <c r="C673" s="193">
        <v>2960</v>
      </c>
      <c r="D673" s="193">
        <v>0</v>
      </c>
      <c r="E673" s="193">
        <v>0</v>
      </c>
      <c r="F673" s="194">
        <v>0</v>
      </c>
      <c r="G673" s="193">
        <v>0</v>
      </c>
      <c r="H673" s="193">
        <v>1</v>
      </c>
      <c r="I673" s="193">
        <v>0</v>
      </c>
      <c r="J673" s="321" t="str">
        <f t="shared" si="57"/>
        <v>3639/5169/2960/0/0/0/0/1/0</v>
      </c>
      <c r="K673" s="321" t="s">
        <v>313</v>
      </c>
      <c r="L673" s="201">
        <v>9377.5</v>
      </c>
      <c r="M673" s="201">
        <v>33736</v>
      </c>
      <c r="N673" s="201">
        <v>50699</v>
      </c>
      <c r="O673" s="201">
        <v>8591</v>
      </c>
      <c r="P673" s="201">
        <v>40535</v>
      </c>
      <c r="Q673" s="201">
        <v>30000</v>
      </c>
      <c r="R673" s="201">
        <v>30000</v>
      </c>
      <c r="S673" s="201">
        <v>10000</v>
      </c>
      <c r="T673" s="201"/>
      <c r="U673" s="403" t="s">
        <v>4977</v>
      </c>
      <c r="V673" s="351"/>
    </row>
    <row r="674" spans="1:22" s="59" customFormat="1" outlineLevel="2" x14ac:dyDescent="0.25">
      <c r="A674" s="265">
        <v>3639</v>
      </c>
      <c r="B674" s="265">
        <v>5042</v>
      </c>
      <c r="C674" s="265">
        <v>2960</v>
      </c>
      <c r="D674" s="265">
        <v>0</v>
      </c>
      <c r="E674" s="265">
        <v>0</v>
      </c>
      <c r="F674" s="265">
        <v>0</v>
      </c>
      <c r="G674" s="265">
        <v>0</v>
      </c>
      <c r="H674" s="265">
        <v>0</v>
      </c>
      <c r="I674" s="265">
        <v>0</v>
      </c>
      <c r="J674" s="338" t="str">
        <f t="shared" si="57"/>
        <v>3639/5042/2960/0/0/0/0/0/0</v>
      </c>
      <c r="K674" s="338" t="s">
        <v>4995</v>
      </c>
      <c r="L674" s="366"/>
      <c r="M674" s="366"/>
      <c r="N674" s="366"/>
      <c r="O674" s="366">
        <v>101494.8</v>
      </c>
      <c r="P674" s="366">
        <v>101494.8</v>
      </c>
      <c r="Q674" s="366">
        <v>101495</v>
      </c>
      <c r="R674" s="366">
        <v>102989</v>
      </c>
      <c r="S674" s="201">
        <v>116015</v>
      </c>
      <c r="T674" s="201"/>
      <c r="U674" s="403" t="s">
        <v>4996</v>
      </c>
      <c r="V674" s="351"/>
    </row>
    <row r="675" spans="1:22" s="59" customFormat="1" outlineLevel="2" x14ac:dyDescent="0.25">
      <c r="A675" s="194">
        <v>2310</v>
      </c>
      <c r="B675" s="194">
        <v>5169</v>
      </c>
      <c r="C675" s="194">
        <v>2960</v>
      </c>
      <c r="D675" s="194">
        <v>0</v>
      </c>
      <c r="E675" s="193">
        <v>0</v>
      </c>
      <c r="F675" s="194">
        <v>0</v>
      </c>
      <c r="G675" s="193">
        <v>0</v>
      </c>
      <c r="H675" s="193">
        <v>0</v>
      </c>
      <c r="I675" s="193">
        <v>0</v>
      </c>
      <c r="J675" s="321" t="str">
        <f t="shared" si="57"/>
        <v>2310/5169/2960/0/0/0/0/0/0</v>
      </c>
      <c r="K675" s="321" t="s">
        <v>314</v>
      </c>
      <c r="L675" s="201"/>
      <c r="M675" s="201"/>
      <c r="N675" s="201">
        <v>23837</v>
      </c>
      <c r="O675" s="201">
        <v>25894</v>
      </c>
      <c r="P675" s="201">
        <v>31883.5</v>
      </c>
      <c r="Q675" s="201">
        <v>40000</v>
      </c>
      <c r="R675" s="201">
        <v>40000</v>
      </c>
      <c r="S675" s="201">
        <v>40000</v>
      </c>
      <c r="T675" s="201"/>
      <c r="U675" s="403" t="s">
        <v>5136</v>
      </c>
      <c r="V675" s="351"/>
    </row>
    <row r="676" spans="1:22" s="59" customFormat="1" outlineLevel="2" x14ac:dyDescent="0.25">
      <c r="A676" s="193">
        <v>3733</v>
      </c>
      <c r="B676" s="193">
        <v>5493</v>
      </c>
      <c r="C676" s="193">
        <v>2960</v>
      </c>
      <c r="D676" s="193">
        <v>0</v>
      </c>
      <c r="E676" s="193">
        <v>0</v>
      </c>
      <c r="F676" s="194">
        <v>0</v>
      </c>
      <c r="G676" s="193">
        <v>0</v>
      </c>
      <c r="H676" s="193">
        <v>0</v>
      </c>
      <c r="I676" s="193">
        <v>0</v>
      </c>
      <c r="J676" s="321" t="str">
        <f t="shared" si="57"/>
        <v>3733/5493/2960/0/0/0/0/0/0</v>
      </c>
      <c r="K676" s="321" t="s">
        <v>3708</v>
      </c>
      <c r="L676" s="201">
        <v>0</v>
      </c>
      <c r="M676" s="201"/>
      <c r="N676" s="201">
        <v>5000</v>
      </c>
      <c r="O676" s="201"/>
      <c r="P676" s="201"/>
      <c r="Q676" s="201">
        <v>40000</v>
      </c>
      <c r="R676" s="201">
        <v>40000</v>
      </c>
      <c r="S676" s="201">
        <v>10000</v>
      </c>
      <c r="T676" s="201"/>
      <c r="U676" s="403" t="s">
        <v>5137</v>
      </c>
      <c r="V676" s="351"/>
    </row>
    <row r="677" spans="1:22" s="59" customFormat="1" outlineLevel="2" x14ac:dyDescent="0.25">
      <c r="A677" s="193">
        <v>3639</v>
      </c>
      <c r="B677" s="193">
        <v>5137</v>
      </c>
      <c r="C677" s="193">
        <v>2960</v>
      </c>
      <c r="D677" s="193">
        <v>0</v>
      </c>
      <c r="E677" s="193">
        <v>0</v>
      </c>
      <c r="F677" s="194">
        <v>0</v>
      </c>
      <c r="G677" s="193">
        <v>0</v>
      </c>
      <c r="H677" s="193">
        <v>0</v>
      </c>
      <c r="I677" s="193">
        <v>0</v>
      </c>
      <c r="J677" s="321" t="str">
        <f t="shared" si="57"/>
        <v>3639/5137/2960/0/0/0/0/0/0</v>
      </c>
      <c r="K677" s="321" t="s">
        <v>315</v>
      </c>
      <c r="L677" s="201">
        <v>23328</v>
      </c>
      <c r="M677" s="201">
        <v>93063</v>
      </c>
      <c r="N677" s="201">
        <v>92155.6</v>
      </c>
      <c r="O677" s="201">
        <v>44684</v>
      </c>
      <c r="P677" s="201">
        <v>357528.59</v>
      </c>
      <c r="Q677" s="201">
        <v>150000</v>
      </c>
      <c r="R677" s="201">
        <v>150000</v>
      </c>
      <c r="S677" s="201">
        <v>100000</v>
      </c>
      <c r="T677" s="201"/>
      <c r="U677" s="403"/>
      <c r="V677" s="351"/>
    </row>
    <row r="678" spans="1:22" s="59" customFormat="1" outlineLevel="2" x14ac:dyDescent="0.25">
      <c r="A678" s="193">
        <v>3727</v>
      </c>
      <c r="B678" s="193">
        <v>5139</v>
      </c>
      <c r="C678" s="193">
        <v>2960</v>
      </c>
      <c r="D678" s="193">
        <v>0</v>
      </c>
      <c r="E678" s="193">
        <v>0</v>
      </c>
      <c r="F678" s="194">
        <v>0</v>
      </c>
      <c r="G678" s="193">
        <v>0</v>
      </c>
      <c r="H678" s="193">
        <v>0</v>
      </c>
      <c r="I678" s="193">
        <v>0</v>
      </c>
      <c r="J678" s="321" t="str">
        <f t="shared" si="57"/>
        <v>3727/5139/2960/0/0/0/0/0/0</v>
      </c>
      <c r="K678" s="321" t="s">
        <v>316</v>
      </c>
      <c r="L678" s="201">
        <v>627</v>
      </c>
      <c r="M678" s="201">
        <v>2779</v>
      </c>
      <c r="N678" s="201">
        <v>768</v>
      </c>
      <c r="O678" s="201">
        <v>10021.58</v>
      </c>
      <c r="P678" s="201">
        <v>10637.64</v>
      </c>
      <c r="Q678" s="201">
        <v>5000</v>
      </c>
      <c r="R678" s="201">
        <v>5000</v>
      </c>
      <c r="S678" s="201">
        <v>6000</v>
      </c>
      <c r="T678" s="201"/>
      <c r="U678" s="403" t="s">
        <v>5128</v>
      </c>
      <c r="V678" s="351"/>
    </row>
    <row r="679" spans="1:22" s="59" customFormat="1" outlineLevel="2" x14ac:dyDescent="0.25">
      <c r="A679" s="193">
        <v>3723</v>
      </c>
      <c r="B679" s="193">
        <v>5169</v>
      </c>
      <c r="C679" s="193">
        <v>2960</v>
      </c>
      <c r="D679" s="193">
        <v>69601</v>
      </c>
      <c r="E679" s="193">
        <v>0</v>
      </c>
      <c r="F679" s="194">
        <v>0</v>
      </c>
      <c r="G679" s="193">
        <v>0</v>
      </c>
      <c r="H679" s="193">
        <v>0</v>
      </c>
      <c r="I679" s="193">
        <v>0</v>
      </c>
      <c r="J679" s="321" t="str">
        <f t="shared" si="57"/>
        <v>3723/5169/2960/69601/0/0/0/0/0</v>
      </c>
      <c r="K679" s="321" t="s">
        <v>5083</v>
      </c>
      <c r="L679" s="201">
        <v>212461</v>
      </c>
      <c r="M679" s="201">
        <v>213550</v>
      </c>
      <c r="N679" s="201">
        <v>239366</v>
      </c>
      <c r="O679" s="201">
        <v>318048</v>
      </c>
      <c r="P679" s="201">
        <v>330348</v>
      </c>
      <c r="Q679" s="201">
        <v>300000</v>
      </c>
      <c r="R679" s="201">
        <v>300000</v>
      </c>
      <c r="S679" s="201">
        <v>300000</v>
      </c>
      <c r="T679" s="201"/>
      <c r="U679" s="403" t="s">
        <v>5128</v>
      </c>
      <c r="V679" s="351"/>
    </row>
    <row r="680" spans="1:22" s="59" customFormat="1" outlineLevel="2" x14ac:dyDescent="0.25">
      <c r="A680" s="193">
        <v>3722</v>
      </c>
      <c r="B680" s="193">
        <v>5169</v>
      </c>
      <c r="C680" s="193">
        <v>2960</v>
      </c>
      <c r="D680" s="193">
        <v>0</v>
      </c>
      <c r="E680" s="193">
        <v>0</v>
      </c>
      <c r="F680" s="194">
        <v>0</v>
      </c>
      <c r="G680" s="193">
        <v>0</v>
      </c>
      <c r="H680" s="193">
        <v>0</v>
      </c>
      <c r="I680" s="193">
        <v>0</v>
      </c>
      <c r="J680" s="321" t="str">
        <f t="shared" si="57"/>
        <v>3722/5169/2960/0/0/0/0/0/0</v>
      </c>
      <c r="K680" s="321" t="s">
        <v>317</v>
      </c>
      <c r="L680" s="201">
        <v>13831804.5</v>
      </c>
      <c r="M680" s="201">
        <v>13395365.9</v>
      </c>
      <c r="N680" s="201">
        <v>13974648.130000001</v>
      </c>
      <c r="O680" s="201">
        <v>14405613.15</v>
      </c>
      <c r="P680" s="201">
        <v>15279680.710000001</v>
      </c>
      <c r="Q680" s="201">
        <v>18000000</v>
      </c>
      <c r="R680" s="201">
        <v>18000000</v>
      </c>
      <c r="S680" s="201">
        <v>18000000</v>
      </c>
      <c r="T680" s="201"/>
      <c r="U680" s="403" t="s">
        <v>5128</v>
      </c>
      <c r="V680" s="351"/>
    </row>
    <row r="681" spans="1:22" s="59" customFormat="1" outlineLevel="2" x14ac:dyDescent="0.25">
      <c r="A681" s="193">
        <v>3729</v>
      </c>
      <c r="B681" s="193">
        <v>5169</v>
      </c>
      <c r="C681" s="193">
        <v>2960</v>
      </c>
      <c r="D681" s="193">
        <v>0</v>
      </c>
      <c r="E681" s="193">
        <v>0</v>
      </c>
      <c r="F681" s="194">
        <v>0</v>
      </c>
      <c r="G681" s="193">
        <v>0</v>
      </c>
      <c r="H681" s="193">
        <v>0</v>
      </c>
      <c r="I681" s="193">
        <v>0</v>
      </c>
      <c r="J681" s="321" t="str">
        <f t="shared" si="57"/>
        <v>3729/5169/2960/0/0/0/0/0/0</v>
      </c>
      <c r="K681" s="321" t="s">
        <v>318</v>
      </c>
      <c r="L681" s="201">
        <v>29694</v>
      </c>
      <c r="M681" s="201">
        <v>17980</v>
      </c>
      <c r="N681" s="201">
        <v>12862</v>
      </c>
      <c r="O681" s="201">
        <v>54511.519999999997</v>
      </c>
      <c r="P681" s="201">
        <v>64866</v>
      </c>
      <c r="Q681" s="201">
        <v>75139</v>
      </c>
      <c r="R681" s="201">
        <v>75139</v>
      </c>
      <c r="S681" s="201">
        <v>70000</v>
      </c>
      <c r="T681" s="201"/>
      <c r="U681" s="403" t="s">
        <v>5128</v>
      </c>
      <c r="V681" s="351"/>
    </row>
    <row r="682" spans="1:22" s="59" customFormat="1" outlineLevel="2" x14ac:dyDescent="0.25">
      <c r="A682" s="193">
        <v>3721</v>
      </c>
      <c r="B682" s="193">
        <v>5169</v>
      </c>
      <c r="C682" s="193">
        <v>2960</v>
      </c>
      <c r="D682" s="193">
        <v>0</v>
      </c>
      <c r="E682" s="193">
        <v>0</v>
      </c>
      <c r="F682" s="194">
        <v>0</v>
      </c>
      <c r="G682" s="193">
        <v>0</v>
      </c>
      <c r="H682" s="193">
        <v>0</v>
      </c>
      <c r="I682" s="193">
        <v>0</v>
      </c>
      <c r="J682" s="321" t="str">
        <f t="shared" si="57"/>
        <v>3721/5169/2960/0/0/0/0/0/0</v>
      </c>
      <c r="K682" s="321" t="s">
        <v>319</v>
      </c>
      <c r="L682" s="201">
        <v>12354</v>
      </c>
      <c r="M682" s="201">
        <v>15617.5</v>
      </c>
      <c r="N682" s="201">
        <v>18956</v>
      </c>
      <c r="O682" s="201">
        <v>15383.5</v>
      </c>
      <c r="P682" s="201">
        <v>12869</v>
      </c>
      <c r="Q682" s="201">
        <v>20000</v>
      </c>
      <c r="R682" s="201">
        <v>20000</v>
      </c>
      <c r="S682" s="201">
        <v>20000</v>
      </c>
      <c r="T682" s="201"/>
      <c r="U682" s="403"/>
      <c r="V682" s="351"/>
    </row>
    <row r="683" spans="1:22" s="59" customFormat="1" outlineLevel="2" x14ac:dyDescent="0.25">
      <c r="A683" s="193">
        <v>3722</v>
      </c>
      <c r="B683" s="193">
        <v>5169</v>
      </c>
      <c r="C683" s="193">
        <v>2960</v>
      </c>
      <c r="D683" s="193">
        <v>69795</v>
      </c>
      <c r="E683" s="193">
        <v>0</v>
      </c>
      <c r="F683" s="194">
        <v>0</v>
      </c>
      <c r="G683" s="193">
        <v>0</v>
      </c>
      <c r="H683" s="193">
        <v>0</v>
      </c>
      <c r="I683" s="193">
        <v>0</v>
      </c>
      <c r="J683" s="321" t="str">
        <f t="shared" si="57"/>
        <v>3722/5169/2960/69795/0/0/0/0/0</v>
      </c>
      <c r="K683" s="321" t="s">
        <v>320</v>
      </c>
      <c r="L683" s="201">
        <v>265164</v>
      </c>
      <c r="M683" s="201">
        <v>265251.5</v>
      </c>
      <c r="N683" s="201">
        <v>276103.18</v>
      </c>
      <c r="O683" s="201">
        <v>234693.33</v>
      </c>
      <c r="P683" s="201">
        <v>267259.42</v>
      </c>
      <c r="Q683" s="201">
        <v>350000</v>
      </c>
      <c r="R683" s="201">
        <v>350000</v>
      </c>
      <c r="S683" s="201">
        <v>250000</v>
      </c>
      <c r="T683" s="201"/>
      <c r="U683" s="403" t="s">
        <v>5129</v>
      </c>
      <c r="V683" s="351"/>
    </row>
    <row r="684" spans="1:22" s="59" customFormat="1" outlineLevel="2" x14ac:dyDescent="0.25">
      <c r="A684" s="193">
        <v>3725</v>
      </c>
      <c r="B684" s="193">
        <v>5164</v>
      </c>
      <c r="C684" s="193">
        <v>2960</v>
      </c>
      <c r="D684" s="193">
        <v>69296</v>
      </c>
      <c r="E684" s="193">
        <v>0</v>
      </c>
      <c r="F684" s="194">
        <v>0</v>
      </c>
      <c r="G684" s="193">
        <v>0</v>
      </c>
      <c r="H684" s="193">
        <v>0</v>
      </c>
      <c r="I684" s="193">
        <v>0</v>
      </c>
      <c r="J684" s="321" t="str">
        <f t="shared" si="57"/>
        <v>3725/5164/2960/69296/0/0/0/0/0</v>
      </c>
      <c r="K684" s="321" t="s">
        <v>321</v>
      </c>
      <c r="L684" s="201">
        <v>43955</v>
      </c>
      <c r="M684" s="201">
        <v>40930</v>
      </c>
      <c r="N684" s="201">
        <v>39720</v>
      </c>
      <c r="O684" s="201">
        <v>39720</v>
      </c>
      <c r="P684" s="201">
        <v>39719.99</v>
      </c>
      <c r="Q684" s="201">
        <v>40000</v>
      </c>
      <c r="R684" s="201">
        <v>40000</v>
      </c>
      <c r="S684" s="201">
        <v>25000</v>
      </c>
      <c r="T684" s="201"/>
      <c r="U684" s="403" t="s">
        <v>5138</v>
      </c>
      <c r="V684" s="351"/>
    </row>
    <row r="685" spans="1:22" s="59" customFormat="1" outlineLevel="2" x14ac:dyDescent="0.25">
      <c r="A685" s="193">
        <v>3725</v>
      </c>
      <c r="B685" s="193">
        <v>5164</v>
      </c>
      <c r="C685" s="193">
        <v>2960</v>
      </c>
      <c r="D685" s="193">
        <v>0</v>
      </c>
      <c r="E685" s="193">
        <v>0</v>
      </c>
      <c r="F685" s="194">
        <v>0</v>
      </c>
      <c r="G685" s="193">
        <v>0</v>
      </c>
      <c r="H685" s="193">
        <v>0</v>
      </c>
      <c r="I685" s="193">
        <v>0</v>
      </c>
      <c r="J685" s="321" t="str">
        <f t="shared" ref="J685:J728" si="58">CONCATENATE(A685,"/",B685,"/",C685,"/",D685,"/",E685,"/",F685,"/",G685,"/",H685,"/",I685)</f>
        <v>3725/5164/2960/0/0/0/0/0/0</v>
      </c>
      <c r="K685" s="321" t="s">
        <v>322</v>
      </c>
      <c r="L685" s="201">
        <v>198350.4</v>
      </c>
      <c r="M685" s="201">
        <v>175961.60000000001</v>
      </c>
      <c r="N685" s="201">
        <v>168702.4</v>
      </c>
      <c r="O685" s="201">
        <v>167637.6</v>
      </c>
      <c r="P685" s="201">
        <v>190409.81</v>
      </c>
      <c r="Q685" s="201">
        <v>175000</v>
      </c>
      <c r="R685" s="201">
        <f>147865.56+2134.44</f>
        <v>150000</v>
      </c>
      <c r="S685" s="201">
        <v>100000</v>
      </c>
      <c r="T685" s="201"/>
      <c r="U685" s="403" t="s">
        <v>5128</v>
      </c>
      <c r="V685" s="351"/>
    </row>
    <row r="686" spans="1:22" s="59" customFormat="1" outlineLevel="2" x14ac:dyDescent="0.25">
      <c r="A686" s="193">
        <v>3727</v>
      </c>
      <c r="B686" s="193">
        <v>5169</v>
      </c>
      <c r="C686" s="193">
        <v>2960</v>
      </c>
      <c r="D686" s="193">
        <v>0</v>
      </c>
      <c r="E686" s="193">
        <v>0</v>
      </c>
      <c r="F686" s="194">
        <v>0</v>
      </c>
      <c r="G686" s="193">
        <v>0</v>
      </c>
      <c r="H686" s="193">
        <v>0</v>
      </c>
      <c r="I686" s="193">
        <v>0</v>
      </c>
      <c r="J686" s="321" t="str">
        <f t="shared" si="58"/>
        <v>3727/5169/2960/0/0/0/0/0/0</v>
      </c>
      <c r="K686" s="321" t="s">
        <v>4497</v>
      </c>
      <c r="L686" s="201"/>
      <c r="M686" s="201">
        <v>5000</v>
      </c>
      <c r="N686" s="201"/>
      <c r="O686" s="201"/>
      <c r="P686" s="201">
        <v>18950</v>
      </c>
      <c r="Q686" s="201">
        <v>5000</v>
      </c>
      <c r="R686" s="201">
        <v>5000</v>
      </c>
      <c r="S686" s="201">
        <v>5000</v>
      </c>
      <c r="T686" s="201"/>
      <c r="U686" s="403" t="s">
        <v>5128</v>
      </c>
      <c r="V686" s="351"/>
    </row>
    <row r="687" spans="1:22" s="59" customFormat="1" outlineLevel="2" x14ac:dyDescent="0.25">
      <c r="A687" s="193">
        <v>3723</v>
      </c>
      <c r="B687" s="193">
        <v>5169</v>
      </c>
      <c r="C687" s="193">
        <v>2960</v>
      </c>
      <c r="D687" s="193">
        <v>69503</v>
      </c>
      <c r="E687" s="193">
        <v>0</v>
      </c>
      <c r="F687" s="194">
        <v>0</v>
      </c>
      <c r="G687" s="193">
        <v>0</v>
      </c>
      <c r="H687" s="193">
        <v>0</v>
      </c>
      <c r="I687" s="193">
        <v>0</v>
      </c>
      <c r="J687" s="321" t="str">
        <f t="shared" si="58"/>
        <v>3723/5169/2960/69503/0/0/0/0/0</v>
      </c>
      <c r="K687" s="321" t="s">
        <v>5084</v>
      </c>
      <c r="L687" s="201">
        <v>349651.5</v>
      </c>
      <c r="M687" s="201">
        <v>464730.77</v>
      </c>
      <c r="N687" s="201">
        <v>574553.61</v>
      </c>
      <c r="O687" s="201">
        <v>609670.96</v>
      </c>
      <c r="P687" s="201">
        <v>627268.68999999994</v>
      </c>
      <c r="Q687" s="201">
        <v>750000</v>
      </c>
      <c r="R687" s="201">
        <v>750000</v>
      </c>
      <c r="S687" s="201">
        <v>1000000</v>
      </c>
      <c r="T687" s="201"/>
      <c r="U687" s="403" t="s">
        <v>5130</v>
      </c>
      <c r="V687" s="351"/>
    </row>
    <row r="688" spans="1:22" s="59" customFormat="1" outlineLevel="2" x14ac:dyDescent="0.25">
      <c r="A688" s="193">
        <v>3725</v>
      </c>
      <c r="B688" s="193">
        <v>5169</v>
      </c>
      <c r="C688" s="193">
        <v>2960</v>
      </c>
      <c r="D688" s="193">
        <v>69503</v>
      </c>
      <c r="E688" s="193">
        <v>0</v>
      </c>
      <c r="F688" s="194">
        <v>0</v>
      </c>
      <c r="G688" s="193">
        <v>0</v>
      </c>
      <c r="H688" s="193">
        <v>0</v>
      </c>
      <c r="I688" s="193">
        <v>0</v>
      </c>
      <c r="J688" s="321" t="str">
        <f t="shared" si="58"/>
        <v>3725/5169/2960/69503/0/0/0/0/0</v>
      </c>
      <c r="K688" s="321" t="s">
        <v>323</v>
      </c>
      <c r="L688" s="201">
        <v>2790556</v>
      </c>
      <c r="M688" s="201">
        <v>2730381.45</v>
      </c>
      <c r="N688" s="201">
        <v>4329288.8499999996</v>
      </c>
      <c r="O688" s="201">
        <v>5945644.9000000004</v>
      </c>
      <c r="P688" s="201">
        <v>6180645.0999999996</v>
      </c>
      <c r="Q688" s="201">
        <v>7500000</v>
      </c>
      <c r="R688" s="201">
        <v>7500000</v>
      </c>
      <c r="S688" s="201">
        <v>8300000</v>
      </c>
      <c r="T688" s="201"/>
      <c r="U688" s="403" t="s">
        <v>5131</v>
      </c>
      <c r="V688" s="351"/>
    </row>
    <row r="689" spans="1:22" s="59" customFormat="1" outlineLevel="2" x14ac:dyDescent="0.25">
      <c r="A689" s="193">
        <v>3727</v>
      </c>
      <c r="B689" s="193">
        <v>5169</v>
      </c>
      <c r="C689" s="193">
        <v>2960</v>
      </c>
      <c r="D689" s="193">
        <v>69795</v>
      </c>
      <c r="E689" s="193">
        <v>0</v>
      </c>
      <c r="F689" s="194">
        <v>0</v>
      </c>
      <c r="G689" s="193">
        <v>0</v>
      </c>
      <c r="H689" s="193">
        <v>0</v>
      </c>
      <c r="I689" s="193">
        <v>0</v>
      </c>
      <c r="J689" s="321" t="str">
        <f t="shared" si="58"/>
        <v>3727/5169/2960/69795/0/0/0/0/0</v>
      </c>
      <c r="K689" s="321" t="s">
        <v>324</v>
      </c>
      <c r="L689" s="201">
        <v>1028859</v>
      </c>
      <c r="M689" s="201">
        <v>1028859</v>
      </c>
      <c r="N689" s="201">
        <v>1060424.2</v>
      </c>
      <c r="O689" s="201">
        <v>1081336</v>
      </c>
      <c r="P689" s="201">
        <v>1124932.3</v>
      </c>
      <c r="Q689" s="201">
        <v>1400000</v>
      </c>
      <c r="R689" s="201">
        <v>1400000</v>
      </c>
      <c r="S689" s="201">
        <v>1400000</v>
      </c>
      <c r="T689" s="201"/>
      <c r="U689" s="403" t="s">
        <v>5128</v>
      </c>
      <c r="V689" s="351"/>
    </row>
    <row r="690" spans="1:22" s="59" customFormat="1" outlineLevel="2" x14ac:dyDescent="0.25">
      <c r="A690" s="193">
        <v>2212</v>
      </c>
      <c r="B690" s="193">
        <v>5169</v>
      </c>
      <c r="C690" s="193">
        <v>2960</v>
      </c>
      <c r="D690" s="193">
        <v>20082</v>
      </c>
      <c r="E690" s="193">
        <v>0</v>
      </c>
      <c r="F690" s="194">
        <v>0</v>
      </c>
      <c r="G690" s="193">
        <v>0</v>
      </c>
      <c r="H690" s="193">
        <v>0</v>
      </c>
      <c r="I690" s="193">
        <v>0</v>
      </c>
      <c r="J690" s="321" t="str">
        <f t="shared" si="58"/>
        <v>2212/5169/2960/20082/0/0/0/0/0</v>
      </c>
      <c r="K690" s="321" t="s">
        <v>325</v>
      </c>
      <c r="L690" s="201">
        <v>210237.5</v>
      </c>
      <c r="M690" s="201">
        <v>274730.5</v>
      </c>
      <c r="N690" s="201">
        <v>309639</v>
      </c>
      <c r="O690" s="201">
        <v>280072</v>
      </c>
      <c r="P690" s="201"/>
      <c r="Q690" s="201">
        <v>30000</v>
      </c>
      <c r="R690" s="201">
        <v>30000</v>
      </c>
      <c r="S690" s="201">
        <v>30000</v>
      </c>
      <c r="T690" s="201"/>
      <c r="U690" s="403" t="s">
        <v>4954</v>
      </c>
      <c r="V690" s="351"/>
    </row>
    <row r="691" spans="1:22" s="59" customFormat="1" outlineLevel="2" x14ac:dyDescent="0.25">
      <c r="A691" s="193">
        <v>2229</v>
      </c>
      <c r="B691" s="193">
        <v>5169</v>
      </c>
      <c r="C691" s="193">
        <v>2960</v>
      </c>
      <c r="D691" s="193">
        <v>0</v>
      </c>
      <c r="E691" s="193">
        <v>0</v>
      </c>
      <c r="F691" s="194">
        <v>0</v>
      </c>
      <c r="G691" s="193">
        <v>0</v>
      </c>
      <c r="H691" s="193">
        <v>0</v>
      </c>
      <c r="I691" s="193">
        <v>0</v>
      </c>
      <c r="J691" s="321" t="str">
        <f t="shared" si="58"/>
        <v>2229/5169/2960/0/0/0/0/0/0</v>
      </c>
      <c r="K691" s="321" t="s">
        <v>326</v>
      </c>
      <c r="L691" s="201">
        <v>4500</v>
      </c>
      <c r="M691" s="201">
        <v>500</v>
      </c>
      <c r="N691" s="201">
        <v>1000</v>
      </c>
      <c r="O691" s="201"/>
      <c r="P691" s="201"/>
      <c r="Q691" s="201"/>
      <c r="R691" s="201"/>
      <c r="S691" s="201"/>
      <c r="T691" s="201"/>
      <c r="U691" s="403"/>
      <c r="V691" s="351"/>
    </row>
    <row r="692" spans="1:22" s="59" customFormat="1" outlineLevel="2" x14ac:dyDescent="0.25">
      <c r="A692" s="193">
        <v>3639</v>
      </c>
      <c r="B692" s="193">
        <v>5171</v>
      </c>
      <c r="C692" s="193">
        <v>2960</v>
      </c>
      <c r="D692" s="193">
        <v>69650</v>
      </c>
      <c r="E692" s="193">
        <v>0</v>
      </c>
      <c r="F692" s="194">
        <v>0</v>
      </c>
      <c r="G692" s="193">
        <v>0</v>
      </c>
      <c r="H692" s="193">
        <v>0</v>
      </c>
      <c r="I692" s="193">
        <v>0</v>
      </c>
      <c r="J692" s="321" t="str">
        <f t="shared" si="58"/>
        <v>3639/5171/2960/69650/0/0/0/0/0</v>
      </c>
      <c r="K692" s="321" t="s">
        <v>327</v>
      </c>
      <c r="L692" s="201">
        <v>5500</v>
      </c>
      <c r="M692" s="201">
        <v>755</v>
      </c>
      <c r="N692" s="201">
        <v>1292</v>
      </c>
      <c r="O692" s="201">
        <v>614</v>
      </c>
      <c r="P692" s="201"/>
      <c r="Q692" s="201">
        <v>5000</v>
      </c>
      <c r="R692" s="201">
        <v>5000</v>
      </c>
      <c r="S692" s="201">
        <v>5000</v>
      </c>
      <c r="T692" s="201"/>
      <c r="U692" s="403"/>
      <c r="V692" s="351"/>
    </row>
    <row r="693" spans="1:22" s="59" customFormat="1" outlineLevel="2" x14ac:dyDescent="0.25">
      <c r="A693" s="194">
        <v>2219</v>
      </c>
      <c r="B693" s="194">
        <v>5166</v>
      </c>
      <c r="C693" s="194">
        <v>2960</v>
      </c>
      <c r="D693" s="194">
        <v>0</v>
      </c>
      <c r="E693" s="194">
        <v>0</v>
      </c>
      <c r="F693" s="194">
        <v>0</v>
      </c>
      <c r="G693" s="194">
        <v>0</v>
      </c>
      <c r="H693" s="194">
        <v>1</v>
      </c>
      <c r="I693" s="194">
        <v>0</v>
      </c>
      <c r="J693" s="320" t="str">
        <f t="shared" si="58"/>
        <v>2219/5166/2960/0/0/0/0/1/0</v>
      </c>
      <c r="K693" s="320" t="s">
        <v>328</v>
      </c>
      <c r="L693" s="201">
        <v>40000</v>
      </c>
      <c r="M693" s="201">
        <v>62500</v>
      </c>
      <c r="N693" s="201">
        <v>17000</v>
      </c>
      <c r="O693" s="201">
        <v>34691</v>
      </c>
      <c r="P693" s="201">
        <v>16815</v>
      </c>
      <c r="Q693" s="201">
        <v>50000</v>
      </c>
      <c r="R693" s="201">
        <v>50000</v>
      </c>
      <c r="S693" s="201">
        <v>100000</v>
      </c>
      <c r="T693" s="201"/>
      <c r="U693" s="403" t="s">
        <v>4958</v>
      </c>
      <c r="V693" s="351"/>
    </row>
    <row r="694" spans="1:22" s="59" customFormat="1" outlineLevel="2" x14ac:dyDescent="0.25">
      <c r="A694" s="193">
        <v>3639</v>
      </c>
      <c r="B694" s="193">
        <v>5171</v>
      </c>
      <c r="C694" s="193">
        <v>2960</v>
      </c>
      <c r="D694" s="193">
        <v>0</v>
      </c>
      <c r="E694" s="193">
        <v>0</v>
      </c>
      <c r="F694" s="194">
        <v>0</v>
      </c>
      <c r="G694" s="193">
        <v>0</v>
      </c>
      <c r="H694" s="193">
        <v>0</v>
      </c>
      <c r="I694" s="193">
        <v>0</v>
      </c>
      <c r="J694" s="321" t="str">
        <f t="shared" si="58"/>
        <v>3639/5171/2960/0/0/0/0/0/0</v>
      </c>
      <c r="K694" s="321" t="s">
        <v>329</v>
      </c>
      <c r="L694" s="201">
        <v>991</v>
      </c>
      <c r="M694" s="201">
        <v>1535</v>
      </c>
      <c r="N694" s="201">
        <v>59060</v>
      </c>
      <c r="O694" s="201">
        <v>23423.18</v>
      </c>
      <c r="P694" s="201">
        <v>60550.8</v>
      </c>
      <c r="Q694" s="201">
        <v>100000</v>
      </c>
      <c r="R694" s="201">
        <v>31717</v>
      </c>
      <c r="S694" s="201">
        <v>100000</v>
      </c>
      <c r="T694" s="201"/>
      <c r="U694" s="403" t="s">
        <v>4979</v>
      </c>
      <c r="V694" s="351"/>
    </row>
    <row r="695" spans="1:22" s="59" customFormat="1" outlineLevel="2" x14ac:dyDescent="0.25">
      <c r="A695" s="194">
        <v>2229</v>
      </c>
      <c r="B695" s="194">
        <v>5169</v>
      </c>
      <c r="C695" s="194">
        <v>2960</v>
      </c>
      <c r="D695" s="194">
        <v>0</v>
      </c>
      <c r="E695" s="194">
        <v>0</v>
      </c>
      <c r="F695" s="194">
        <v>0</v>
      </c>
      <c r="G695" s="194">
        <v>0</v>
      </c>
      <c r="H695" s="194">
        <v>1</v>
      </c>
      <c r="I695" s="194">
        <v>0</v>
      </c>
      <c r="J695" s="320" t="str">
        <f t="shared" si="58"/>
        <v>2229/5169/2960/0/0/0/0/1/0</v>
      </c>
      <c r="K695" s="320" t="s">
        <v>90</v>
      </c>
      <c r="L695" s="201">
        <v>9680</v>
      </c>
      <c r="M695" s="201">
        <v>16420</v>
      </c>
      <c r="N695" s="201">
        <v>14520</v>
      </c>
      <c r="O695" s="201">
        <v>14520</v>
      </c>
      <c r="P695" s="201">
        <v>14520</v>
      </c>
      <c r="Q695" s="201">
        <v>15000</v>
      </c>
      <c r="R695" s="201">
        <v>34500</v>
      </c>
      <c r="S695" s="201">
        <v>15000</v>
      </c>
      <c r="T695" s="201"/>
      <c r="U695" s="403"/>
      <c r="V695" s="351"/>
    </row>
    <row r="696" spans="1:22" s="59" customFormat="1" ht="30" outlineLevel="2" x14ac:dyDescent="0.25">
      <c r="A696" s="193">
        <v>2219</v>
      </c>
      <c r="B696" s="193">
        <v>5171</v>
      </c>
      <c r="C696" s="193">
        <v>2960</v>
      </c>
      <c r="D696" s="193">
        <v>0</v>
      </c>
      <c r="E696" s="193">
        <v>0</v>
      </c>
      <c r="F696" s="194">
        <v>0</v>
      </c>
      <c r="G696" s="193">
        <v>0</v>
      </c>
      <c r="H696" s="193">
        <v>0</v>
      </c>
      <c r="I696" s="193">
        <v>0</v>
      </c>
      <c r="J696" s="321" t="str">
        <f t="shared" si="58"/>
        <v>2219/5171/2960/0/0/0/0/0/0</v>
      </c>
      <c r="K696" s="321" t="s">
        <v>330</v>
      </c>
      <c r="L696" s="201">
        <v>4114</v>
      </c>
      <c r="M696" s="201">
        <v>33677</v>
      </c>
      <c r="N696" s="201"/>
      <c r="O696" s="201">
        <v>8996.35</v>
      </c>
      <c r="P696" s="201">
        <v>85781.74</v>
      </c>
      <c r="Q696" s="201">
        <v>40000</v>
      </c>
      <c r="R696" s="201">
        <v>40000</v>
      </c>
      <c r="S696" s="201">
        <v>70000</v>
      </c>
      <c r="T696" s="201"/>
      <c r="U696" s="403" t="s">
        <v>4959</v>
      </c>
      <c r="V696" s="351"/>
    </row>
    <row r="697" spans="1:22" s="59" customFormat="1" ht="30" outlineLevel="2" x14ac:dyDescent="0.25">
      <c r="A697" s="193">
        <v>1014</v>
      </c>
      <c r="B697" s="193">
        <v>5169</v>
      </c>
      <c r="C697" s="193">
        <v>2960</v>
      </c>
      <c r="D697" s="193">
        <v>69739</v>
      </c>
      <c r="E697" s="193">
        <v>0</v>
      </c>
      <c r="F697" s="194">
        <v>0</v>
      </c>
      <c r="G697" s="193">
        <v>0</v>
      </c>
      <c r="H697" s="193">
        <v>0</v>
      </c>
      <c r="I697" s="193">
        <v>0</v>
      </c>
      <c r="J697" s="321" t="str">
        <f t="shared" si="58"/>
        <v>1014/5169/2960/69739/0/0/0/0/0</v>
      </c>
      <c r="K697" s="321" t="s">
        <v>331</v>
      </c>
      <c r="L697" s="201">
        <v>1696400</v>
      </c>
      <c r="M697" s="201">
        <v>1697940</v>
      </c>
      <c r="N697" s="201">
        <v>1711860</v>
      </c>
      <c r="O697" s="201">
        <v>1714700</v>
      </c>
      <c r="P697" s="201">
        <v>1726080</v>
      </c>
      <c r="Q697" s="201">
        <v>1700000</v>
      </c>
      <c r="R697" s="201">
        <v>1700000</v>
      </c>
      <c r="S697" s="201">
        <v>1742000</v>
      </c>
      <c r="T697" s="201"/>
      <c r="U697" s="403" t="s">
        <v>5139</v>
      </c>
      <c r="V697" s="351"/>
    </row>
    <row r="698" spans="1:22" s="59" customFormat="1" outlineLevel="2" x14ac:dyDescent="0.25">
      <c r="A698" s="196">
        <v>2223</v>
      </c>
      <c r="B698" s="196">
        <v>5139</v>
      </c>
      <c r="C698" s="196">
        <v>2960</v>
      </c>
      <c r="D698" s="196">
        <v>30012</v>
      </c>
      <c r="E698" s="196">
        <v>0</v>
      </c>
      <c r="F698" s="196">
        <v>0</v>
      </c>
      <c r="G698" s="196">
        <v>0</v>
      </c>
      <c r="H698" s="196">
        <v>0</v>
      </c>
      <c r="I698" s="196">
        <v>0</v>
      </c>
      <c r="J698" s="328" t="str">
        <f t="shared" si="58"/>
        <v>2223/5139/2960/30012/0/0/0/0/0</v>
      </c>
      <c r="K698" s="328" t="s">
        <v>3722</v>
      </c>
      <c r="L698" s="349"/>
      <c r="M698" s="349"/>
      <c r="N698" s="349">
        <v>59290</v>
      </c>
      <c r="O698" s="349"/>
      <c r="P698" s="349"/>
      <c r="Q698" s="349">
        <v>60000</v>
      </c>
      <c r="R698" s="349">
        <v>60000</v>
      </c>
      <c r="S698" s="201">
        <v>100000</v>
      </c>
      <c r="T698" s="201"/>
      <c r="U698" s="403" t="s">
        <v>4961</v>
      </c>
      <c r="V698" s="351"/>
    </row>
    <row r="699" spans="1:22" s="59" customFormat="1" outlineLevel="2" x14ac:dyDescent="0.25">
      <c r="A699" s="193">
        <v>2223</v>
      </c>
      <c r="B699" s="193">
        <v>5164</v>
      </c>
      <c r="C699" s="193">
        <v>2960</v>
      </c>
      <c r="D699" s="193">
        <v>30012</v>
      </c>
      <c r="E699" s="193">
        <v>0</v>
      </c>
      <c r="F699" s="194">
        <v>0</v>
      </c>
      <c r="G699" s="193">
        <v>0</v>
      </c>
      <c r="H699" s="193">
        <v>0</v>
      </c>
      <c r="I699" s="193">
        <v>0</v>
      </c>
      <c r="J699" s="321" t="str">
        <f t="shared" si="58"/>
        <v>2223/5164/2960/30012/0/0/0/0/0</v>
      </c>
      <c r="K699" s="321" t="s">
        <v>3732</v>
      </c>
      <c r="L699" s="201">
        <f>118580+58080</f>
        <v>176660</v>
      </c>
      <c r="M699" s="201">
        <v>653400</v>
      </c>
      <c r="N699" s="201">
        <v>783977.15</v>
      </c>
      <c r="O699" s="201">
        <v>1172840.8999999999</v>
      </c>
      <c r="P699" s="201">
        <v>1393920</v>
      </c>
      <c r="Q699" s="201">
        <v>1393920</v>
      </c>
      <c r="R699" s="201">
        <v>1393920</v>
      </c>
      <c r="S699" s="201">
        <v>232320</v>
      </c>
      <c r="T699" s="201"/>
      <c r="U699" s="403" t="s">
        <v>4962</v>
      </c>
      <c r="V699" s="351"/>
    </row>
    <row r="700" spans="1:22" s="59" customFormat="1" outlineLevel="2" x14ac:dyDescent="0.25">
      <c r="A700" s="193">
        <v>2223</v>
      </c>
      <c r="B700" s="193">
        <v>5169</v>
      </c>
      <c r="C700" s="193">
        <v>2960</v>
      </c>
      <c r="D700" s="193">
        <v>30012</v>
      </c>
      <c r="E700" s="193">
        <v>0</v>
      </c>
      <c r="F700" s="194">
        <v>0</v>
      </c>
      <c r="G700" s="193">
        <v>0</v>
      </c>
      <c r="H700" s="193">
        <v>0</v>
      </c>
      <c r="I700" s="193">
        <v>0</v>
      </c>
      <c r="J700" s="321" t="str">
        <f t="shared" si="58"/>
        <v>2223/5169/2960/30012/0/0/0/0/0</v>
      </c>
      <c r="K700" s="321" t="s">
        <v>3733</v>
      </c>
      <c r="L700" s="201"/>
      <c r="M700" s="201">
        <f>52030+13114</f>
        <v>65144</v>
      </c>
      <c r="N700" s="201">
        <v>159512</v>
      </c>
      <c r="O700" s="201">
        <v>14616.8</v>
      </c>
      <c r="P700" s="201">
        <v>55437.36</v>
      </c>
      <c r="Q700" s="201">
        <v>15000</v>
      </c>
      <c r="R700" s="201">
        <v>15000</v>
      </c>
      <c r="S700" s="201">
        <v>750000</v>
      </c>
      <c r="T700" s="201"/>
      <c r="U700" s="403" t="s">
        <v>4963</v>
      </c>
      <c r="V700" s="351"/>
    </row>
    <row r="701" spans="1:22" s="59" customFormat="1" outlineLevel="2" x14ac:dyDescent="0.25">
      <c r="A701" s="209">
        <v>3725</v>
      </c>
      <c r="B701" s="209">
        <v>5213</v>
      </c>
      <c r="C701" s="209">
        <v>2960</v>
      </c>
      <c r="D701" s="209">
        <v>39505</v>
      </c>
      <c r="E701" s="209">
        <v>0</v>
      </c>
      <c r="F701" s="210">
        <v>0</v>
      </c>
      <c r="G701" s="209">
        <v>0</v>
      </c>
      <c r="H701" s="209">
        <v>0</v>
      </c>
      <c r="I701" s="209">
        <v>0</v>
      </c>
      <c r="J701" s="324" t="str">
        <f t="shared" si="58"/>
        <v>3725/5213/2960/39505/0/0/0/0/0</v>
      </c>
      <c r="K701" s="324" t="s">
        <v>3817</v>
      </c>
      <c r="L701" s="206">
        <v>2538</v>
      </c>
      <c r="M701" s="206">
        <v>5759</v>
      </c>
      <c r="N701" s="206">
        <v>880</v>
      </c>
      <c r="O701" s="206">
        <v>105</v>
      </c>
      <c r="P701" s="206">
        <v>838</v>
      </c>
      <c r="Q701" s="206">
        <v>6000</v>
      </c>
      <c r="R701" s="206">
        <v>6000</v>
      </c>
      <c r="S701" s="206">
        <v>10000</v>
      </c>
      <c r="T701" s="206"/>
      <c r="U701" s="531" t="s">
        <v>5140</v>
      </c>
      <c r="V701" s="351"/>
    </row>
    <row r="702" spans="1:22" s="59" customFormat="1" outlineLevel="2" x14ac:dyDescent="0.25">
      <c r="A702" s="193">
        <v>2212</v>
      </c>
      <c r="B702" s="193">
        <v>5166</v>
      </c>
      <c r="C702" s="193">
        <v>2960</v>
      </c>
      <c r="D702" s="193">
        <v>0</v>
      </c>
      <c r="E702" s="193">
        <v>0</v>
      </c>
      <c r="F702" s="194">
        <v>0</v>
      </c>
      <c r="G702" s="193">
        <v>0</v>
      </c>
      <c r="H702" s="193">
        <v>0</v>
      </c>
      <c r="I702" s="193">
        <v>0</v>
      </c>
      <c r="J702" s="321" t="str">
        <f t="shared" si="58"/>
        <v>2212/5166/2960/0/0/0/0/0/0</v>
      </c>
      <c r="K702" s="321" t="s">
        <v>332</v>
      </c>
      <c r="L702" s="201">
        <v>54268.5</v>
      </c>
      <c r="M702" s="201">
        <v>118580</v>
      </c>
      <c r="N702" s="201">
        <v>40000</v>
      </c>
      <c r="O702" s="201">
        <v>69000</v>
      </c>
      <c r="P702" s="201">
        <v>80000</v>
      </c>
      <c r="Q702" s="201">
        <v>70000</v>
      </c>
      <c r="R702" s="201">
        <v>70000</v>
      </c>
      <c r="S702" s="201">
        <v>150000</v>
      </c>
      <c r="T702" s="201"/>
      <c r="U702" s="403" t="s">
        <v>4957</v>
      </c>
      <c r="V702" s="351"/>
    </row>
    <row r="703" spans="1:22" s="59" customFormat="1" outlineLevel="2" x14ac:dyDescent="0.25">
      <c r="A703" s="193">
        <v>3722</v>
      </c>
      <c r="B703" s="193">
        <v>5169</v>
      </c>
      <c r="C703" s="193">
        <v>2960</v>
      </c>
      <c r="D703" s="193">
        <v>65504</v>
      </c>
      <c r="E703" s="193">
        <v>0</v>
      </c>
      <c r="F703" s="194">
        <v>0</v>
      </c>
      <c r="G703" s="193">
        <v>0</v>
      </c>
      <c r="H703" s="193">
        <v>73</v>
      </c>
      <c r="I703" s="193">
        <v>0</v>
      </c>
      <c r="J703" s="321" t="str">
        <f t="shared" si="58"/>
        <v>3722/5169/2960/65504/0/0/0/73/0</v>
      </c>
      <c r="K703" s="321" t="s">
        <v>333</v>
      </c>
      <c r="L703" s="201">
        <v>680938.87</v>
      </c>
      <c r="M703" s="201">
        <v>902467.86</v>
      </c>
      <c r="N703" s="201">
        <v>1155203.32</v>
      </c>
      <c r="O703" s="201">
        <v>634814.46</v>
      </c>
      <c r="P703" s="201">
        <v>501729.55</v>
      </c>
      <c r="Q703" s="201">
        <v>850000</v>
      </c>
      <c r="R703" s="201">
        <v>850000</v>
      </c>
      <c r="S703" s="201">
        <v>800000</v>
      </c>
      <c r="T703" s="201"/>
      <c r="U703" s="403" t="s">
        <v>5132</v>
      </c>
      <c r="V703" s="351"/>
    </row>
    <row r="704" spans="1:22" s="59" customFormat="1" outlineLevel="2" x14ac:dyDescent="0.25">
      <c r="A704" s="193">
        <v>3722</v>
      </c>
      <c r="B704" s="193">
        <v>5169</v>
      </c>
      <c r="C704" s="193">
        <v>2960</v>
      </c>
      <c r="D704" s="193">
        <v>65504</v>
      </c>
      <c r="E704" s="193">
        <v>0</v>
      </c>
      <c r="F704" s="194">
        <v>0</v>
      </c>
      <c r="G704" s="193">
        <v>0</v>
      </c>
      <c r="H704" s="193">
        <v>76</v>
      </c>
      <c r="I704" s="193">
        <v>0</v>
      </c>
      <c r="J704" s="321" t="str">
        <f t="shared" si="58"/>
        <v>3722/5169/2960/65504/0/0/0/76/0</v>
      </c>
      <c r="K704" s="321" t="s">
        <v>334</v>
      </c>
      <c r="L704" s="201">
        <v>10018.25</v>
      </c>
      <c r="M704" s="201">
        <v>12456.27</v>
      </c>
      <c r="N704" s="201">
        <v>12269.44</v>
      </c>
      <c r="O704" s="201">
        <v>14459.7</v>
      </c>
      <c r="P704" s="201">
        <v>12678.08</v>
      </c>
      <c r="Q704" s="201">
        <v>15000</v>
      </c>
      <c r="R704" s="201">
        <v>15000</v>
      </c>
      <c r="S704" s="201">
        <v>15000</v>
      </c>
      <c r="T704" s="201"/>
      <c r="U704" s="403" t="s">
        <v>5141</v>
      </c>
      <c r="V704" s="351"/>
    </row>
    <row r="705" spans="1:22" s="59" customFormat="1" outlineLevel="2" x14ac:dyDescent="0.25">
      <c r="A705" s="193">
        <v>3721</v>
      </c>
      <c r="B705" s="193">
        <v>5169</v>
      </c>
      <c r="C705" s="193">
        <v>2960</v>
      </c>
      <c r="D705" s="193">
        <v>65504</v>
      </c>
      <c r="E705" s="193">
        <v>0</v>
      </c>
      <c r="F705" s="194">
        <v>0</v>
      </c>
      <c r="G705" s="193">
        <v>0</v>
      </c>
      <c r="H705" s="193">
        <v>0</v>
      </c>
      <c r="I705" s="193">
        <v>0</v>
      </c>
      <c r="J705" s="321" t="str">
        <f t="shared" si="58"/>
        <v>3721/5169/2960/65504/0/0/0/0/0</v>
      </c>
      <c r="K705" s="321" t="s">
        <v>335</v>
      </c>
      <c r="L705" s="201">
        <v>421388.02</v>
      </c>
      <c r="M705" s="201">
        <v>366170.72</v>
      </c>
      <c r="N705" s="201">
        <v>415888.93</v>
      </c>
      <c r="O705" s="201">
        <v>386571.56</v>
      </c>
      <c r="P705" s="201">
        <v>217348.69</v>
      </c>
      <c r="Q705" s="201">
        <v>450000</v>
      </c>
      <c r="R705" s="201">
        <v>450000</v>
      </c>
      <c r="S705" s="201">
        <v>450000</v>
      </c>
      <c r="T705" s="201"/>
      <c r="U705" s="403" t="s">
        <v>5133</v>
      </c>
      <c r="V705" s="351"/>
    </row>
    <row r="706" spans="1:22" s="59" customFormat="1" outlineLevel="2" x14ac:dyDescent="0.25">
      <c r="A706" s="193">
        <v>3722</v>
      </c>
      <c r="B706" s="193">
        <v>5169</v>
      </c>
      <c r="C706" s="193">
        <v>2960</v>
      </c>
      <c r="D706" s="193">
        <v>65504</v>
      </c>
      <c r="E706" s="193">
        <v>0</v>
      </c>
      <c r="F706" s="194">
        <v>0</v>
      </c>
      <c r="G706" s="193">
        <v>0</v>
      </c>
      <c r="H706" s="193">
        <v>74</v>
      </c>
      <c r="I706" s="193">
        <v>0</v>
      </c>
      <c r="J706" s="321" t="str">
        <f t="shared" si="58"/>
        <v>3722/5169/2960/65504/0/0/0/74/0</v>
      </c>
      <c r="K706" s="321" t="s">
        <v>336</v>
      </c>
      <c r="L706" s="201">
        <v>868325.36</v>
      </c>
      <c r="M706" s="201">
        <v>998363.37</v>
      </c>
      <c r="N706" s="201">
        <v>2127944.5299999998</v>
      </c>
      <c r="O706" s="201">
        <v>2176760.33</v>
      </c>
      <c r="P706" s="201">
        <v>1908060.35</v>
      </c>
      <c r="Q706" s="201">
        <v>2400000</v>
      </c>
      <c r="R706" s="201">
        <v>2100000</v>
      </c>
      <c r="S706" s="201">
        <v>2030000</v>
      </c>
      <c r="T706" s="201"/>
      <c r="U706" s="403" t="s">
        <v>5134</v>
      </c>
      <c r="V706" s="351"/>
    </row>
    <row r="707" spans="1:22" s="59" customFormat="1" outlineLevel="2" x14ac:dyDescent="0.25">
      <c r="A707" s="193">
        <v>3722</v>
      </c>
      <c r="B707" s="193">
        <v>5169</v>
      </c>
      <c r="C707" s="193">
        <v>2960</v>
      </c>
      <c r="D707" s="193">
        <v>65504</v>
      </c>
      <c r="E707" s="193">
        <v>0</v>
      </c>
      <c r="F707" s="194">
        <v>0</v>
      </c>
      <c r="G707" s="193">
        <v>0</v>
      </c>
      <c r="H707" s="193">
        <v>75</v>
      </c>
      <c r="I707" s="193">
        <v>0</v>
      </c>
      <c r="J707" s="321" t="str">
        <f t="shared" si="58"/>
        <v>3722/5169/2960/65504/0/0/0/75/0</v>
      </c>
      <c r="K707" s="321" t="s">
        <v>337</v>
      </c>
      <c r="L707" s="201">
        <v>1762949.5</v>
      </c>
      <c r="M707" s="201">
        <v>1762950</v>
      </c>
      <c r="N707" s="201">
        <v>1762950</v>
      </c>
      <c r="O707" s="201">
        <v>1762950</v>
      </c>
      <c r="P707" s="201">
        <v>1762950</v>
      </c>
      <c r="Q707" s="201">
        <v>1762950</v>
      </c>
      <c r="R707" s="201">
        <v>1762950</v>
      </c>
      <c r="S707" s="201">
        <v>2000000</v>
      </c>
      <c r="T707" s="201"/>
      <c r="U707" s="403" t="s">
        <v>5128</v>
      </c>
      <c r="V707" s="351"/>
    </row>
    <row r="708" spans="1:22" s="59" customFormat="1" outlineLevel="2" x14ac:dyDescent="0.25">
      <c r="A708" s="193">
        <v>3722</v>
      </c>
      <c r="B708" s="193">
        <v>5169</v>
      </c>
      <c r="C708" s="193">
        <v>2960</v>
      </c>
      <c r="D708" s="193">
        <v>65504</v>
      </c>
      <c r="E708" s="193">
        <v>0</v>
      </c>
      <c r="F708" s="194">
        <v>0</v>
      </c>
      <c r="G708" s="193">
        <v>0</v>
      </c>
      <c r="H708" s="193">
        <v>70</v>
      </c>
      <c r="I708" s="193">
        <v>0</v>
      </c>
      <c r="J708" s="321" t="str">
        <f t="shared" si="58"/>
        <v>3722/5169/2960/65504/0/0/0/70/0</v>
      </c>
      <c r="K708" s="321" t="s">
        <v>338</v>
      </c>
      <c r="L708" s="201">
        <v>97652.83</v>
      </c>
      <c r="M708" s="201">
        <v>103202.4</v>
      </c>
      <c r="N708" s="201">
        <v>115481.85</v>
      </c>
      <c r="O708" s="201">
        <v>109480</v>
      </c>
      <c r="P708" s="201">
        <v>87202.2</v>
      </c>
      <c r="Q708" s="201">
        <v>100000</v>
      </c>
      <c r="R708" s="201">
        <v>100000</v>
      </c>
      <c r="S708" s="201">
        <v>100000</v>
      </c>
      <c r="T708" s="201"/>
      <c r="U708" s="403" t="s">
        <v>5135</v>
      </c>
      <c r="V708" s="351"/>
    </row>
    <row r="709" spans="1:22" s="59" customFormat="1" outlineLevel="2" x14ac:dyDescent="0.25">
      <c r="A709" s="193">
        <v>3722</v>
      </c>
      <c r="B709" s="193">
        <v>5169</v>
      </c>
      <c r="C709" s="193">
        <v>2960</v>
      </c>
      <c r="D709" s="193">
        <v>65504</v>
      </c>
      <c r="E709" s="193">
        <v>0</v>
      </c>
      <c r="F709" s="194">
        <v>0</v>
      </c>
      <c r="G709" s="193">
        <v>0</v>
      </c>
      <c r="H709" s="193">
        <v>71</v>
      </c>
      <c r="I709" s="193">
        <v>0</v>
      </c>
      <c r="J709" s="321" t="str">
        <f t="shared" si="58"/>
        <v>3722/5169/2960/65504/0/0/0/71/0</v>
      </c>
      <c r="K709" s="321" t="s">
        <v>339</v>
      </c>
      <c r="L709" s="201">
        <v>57.5</v>
      </c>
      <c r="M709" s="201">
        <v>57.5</v>
      </c>
      <c r="N709" s="201">
        <v>115649.75</v>
      </c>
      <c r="O709" s="201">
        <v>81510.850000000006</v>
      </c>
      <c r="P709" s="201">
        <v>132375.35</v>
      </c>
      <c r="Q709" s="201">
        <v>150000</v>
      </c>
      <c r="R709" s="201">
        <v>450000</v>
      </c>
      <c r="S709" s="201">
        <v>500000</v>
      </c>
      <c r="T709" s="201"/>
      <c r="U709" s="403" t="s">
        <v>5128</v>
      </c>
      <c r="V709" s="351"/>
    </row>
    <row r="710" spans="1:22" s="59" customFormat="1" outlineLevel="2" x14ac:dyDescent="0.25">
      <c r="A710" s="194">
        <v>3631</v>
      </c>
      <c r="B710" s="194">
        <v>5137</v>
      </c>
      <c r="C710" s="194">
        <v>2960</v>
      </c>
      <c r="D710" s="194">
        <v>0</v>
      </c>
      <c r="E710" s="194">
        <v>0</v>
      </c>
      <c r="F710" s="194">
        <v>0</v>
      </c>
      <c r="G710" s="194">
        <v>0</v>
      </c>
      <c r="H710" s="194">
        <v>0</v>
      </c>
      <c r="I710" s="194">
        <v>0</v>
      </c>
      <c r="J710" s="320" t="str">
        <f t="shared" si="58"/>
        <v>3631/5137/2960/0/0/0/0/0/0</v>
      </c>
      <c r="K710" s="320" t="s">
        <v>340</v>
      </c>
      <c r="L710" s="201">
        <v>586108</v>
      </c>
      <c r="M710" s="201">
        <v>150751</v>
      </c>
      <c r="N710" s="201">
        <v>77220</v>
      </c>
      <c r="O710" s="201">
        <v>124695.5</v>
      </c>
      <c r="P710" s="201"/>
      <c r="Q710" s="201">
        <v>500000</v>
      </c>
      <c r="R710" s="201">
        <v>500000</v>
      </c>
      <c r="S710" s="201">
        <v>500000</v>
      </c>
      <c r="T710" s="201"/>
      <c r="U710" s="403" t="s">
        <v>4966</v>
      </c>
      <c r="V710" s="351"/>
    </row>
    <row r="711" spans="1:22" s="59" customFormat="1" outlineLevel="2" x14ac:dyDescent="0.25">
      <c r="A711" s="193">
        <v>3631</v>
      </c>
      <c r="B711" s="193">
        <v>5171</v>
      </c>
      <c r="C711" s="193">
        <v>2960</v>
      </c>
      <c r="D711" s="193">
        <v>69450</v>
      </c>
      <c r="E711" s="193">
        <v>0</v>
      </c>
      <c r="F711" s="194">
        <v>0</v>
      </c>
      <c r="G711" s="193">
        <v>0</v>
      </c>
      <c r="H711" s="193">
        <v>0</v>
      </c>
      <c r="I711" s="193">
        <v>0</v>
      </c>
      <c r="J711" s="321" t="str">
        <f t="shared" si="58"/>
        <v>3631/5171/2960/69450/0/0/0/0/0</v>
      </c>
      <c r="K711" s="321" t="s">
        <v>341</v>
      </c>
      <c r="L711" s="201">
        <v>264722.09999999998</v>
      </c>
      <c r="M711" s="201">
        <v>250514.9</v>
      </c>
      <c r="N711" s="201">
        <v>193399.2</v>
      </c>
      <c r="O711" s="201">
        <v>138543</v>
      </c>
      <c r="P711" s="201">
        <v>215998</v>
      </c>
      <c r="Q711" s="201">
        <v>250000</v>
      </c>
      <c r="R711" s="201">
        <v>250000</v>
      </c>
      <c r="S711" s="201">
        <v>300000</v>
      </c>
      <c r="T711" s="201"/>
      <c r="U711" s="403"/>
      <c r="V711" s="351"/>
    </row>
    <row r="712" spans="1:22" s="59" customFormat="1" outlineLevel="2" x14ac:dyDescent="0.25">
      <c r="A712" s="193">
        <v>3631</v>
      </c>
      <c r="B712" s="193">
        <v>5169</v>
      </c>
      <c r="C712" s="193">
        <v>2960</v>
      </c>
      <c r="D712" s="193">
        <v>69450</v>
      </c>
      <c r="E712" s="193">
        <v>0</v>
      </c>
      <c r="F712" s="194">
        <v>0</v>
      </c>
      <c r="G712" s="193">
        <v>0</v>
      </c>
      <c r="H712" s="193">
        <v>0</v>
      </c>
      <c r="I712" s="193">
        <v>0</v>
      </c>
      <c r="J712" s="321" t="str">
        <f t="shared" si="58"/>
        <v>3631/5169/2960/69450/0/0/0/0/0</v>
      </c>
      <c r="K712" s="321" t="s">
        <v>342</v>
      </c>
      <c r="L712" s="201">
        <v>117813.5</v>
      </c>
      <c r="M712" s="201">
        <v>92111.9</v>
      </c>
      <c r="N712" s="201">
        <v>91427.7</v>
      </c>
      <c r="O712" s="201">
        <v>157705.5</v>
      </c>
      <c r="P712" s="201">
        <v>77339.5</v>
      </c>
      <c r="Q712" s="201">
        <v>150000</v>
      </c>
      <c r="R712" s="201">
        <v>150000</v>
      </c>
      <c r="S712" s="201">
        <v>150000</v>
      </c>
      <c r="T712" s="201"/>
      <c r="U712" s="403"/>
      <c r="V712" s="351"/>
    </row>
    <row r="713" spans="1:22" s="59" customFormat="1" outlineLevel="2" x14ac:dyDescent="0.25">
      <c r="A713" s="193">
        <v>2219</v>
      </c>
      <c r="B713" s="193">
        <v>5169</v>
      </c>
      <c r="C713" s="193">
        <v>2960</v>
      </c>
      <c r="D713" s="193">
        <v>0</v>
      </c>
      <c r="E713" s="193">
        <v>0</v>
      </c>
      <c r="F713" s="194">
        <v>0</v>
      </c>
      <c r="G713" s="193">
        <v>0</v>
      </c>
      <c r="H713" s="193">
        <v>0</v>
      </c>
      <c r="I713" s="193">
        <v>0</v>
      </c>
      <c r="J713" s="321" t="str">
        <f t="shared" si="58"/>
        <v>2219/5169/2960/0/0/0/0/0/0</v>
      </c>
      <c r="K713" s="321" t="s">
        <v>3691</v>
      </c>
      <c r="L713" s="201">
        <v>22890</v>
      </c>
      <c r="M713" s="201"/>
      <c r="N713" s="201">
        <v>9680</v>
      </c>
      <c r="O713" s="201">
        <v>8791</v>
      </c>
      <c r="P713" s="201">
        <v>20570</v>
      </c>
      <c r="Q713" s="201">
        <v>20000</v>
      </c>
      <c r="R713" s="201">
        <v>20000</v>
      </c>
      <c r="S713" s="201">
        <v>20000</v>
      </c>
      <c r="T713" s="201"/>
      <c r="U713" s="403"/>
      <c r="V713" s="351"/>
    </row>
    <row r="714" spans="1:22" s="59" customFormat="1" outlineLevel="2" x14ac:dyDescent="0.25">
      <c r="A714" s="193">
        <v>3722</v>
      </c>
      <c r="B714" s="193">
        <v>5169</v>
      </c>
      <c r="C714" s="193">
        <v>2960</v>
      </c>
      <c r="D714" s="193">
        <v>0</v>
      </c>
      <c r="E714" s="193">
        <v>0</v>
      </c>
      <c r="F714" s="194">
        <v>0</v>
      </c>
      <c r="G714" s="193">
        <v>0</v>
      </c>
      <c r="H714" s="193">
        <v>1</v>
      </c>
      <c r="I714" s="193">
        <v>0</v>
      </c>
      <c r="J714" s="321" t="str">
        <f t="shared" si="58"/>
        <v>3722/5169/2960/0/0/0/0/1/0</v>
      </c>
      <c r="K714" s="321" t="s">
        <v>343</v>
      </c>
      <c r="L714" s="201">
        <f>105633+6050</f>
        <v>111683</v>
      </c>
      <c r="M714" s="201">
        <v>6050</v>
      </c>
      <c r="N714" s="201">
        <v>15125</v>
      </c>
      <c r="O714" s="201">
        <v>15125</v>
      </c>
      <c r="P714" s="201">
        <v>9075</v>
      </c>
      <c r="Q714" s="201">
        <v>16000</v>
      </c>
      <c r="R714" s="201">
        <v>16000</v>
      </c>
      <c r="S714" s="201">
        <v>10000</v>
      </c>
      <c r="T714" s="201"/>
      <c r="U714" s="403" t="s">
        <v>5128</v>
      </c>
      <c r="V714" s="351"/>
    </row>
    <row r="715" spans="1:22" s="59" customFormat="1" outlineLevel="2" x14ac:dyDescent="0.25">
      <c r="A715" s="193">
        <v>3725</v>
      </c>
      <c r="B715" s="193">
        <v>5169</v>
      </c>
      <c r="C715" s="193">
        <v>2960</v>
      </c>
      <c r="D715" s="193">
        <v>0</v>
      </c>
      <c r="E715" s="193">
        <v>0</v>
      </c>
      <c r="F715" s="194">
        <v>0</v>
      </c>
      <c r="G715" s="193">
        <v>0</v>
      </c>
      <c r="H715" s="193">
        <v>0</v>
      </c>
      <c r="I715" s="193">
        <v>0</v>
      </c>
      <c r="J715" s="321" t="str">
        <f t="shared" si="58"/>
        <v>3725/5169/2960/0/0/0/0/0/0</v>
      </c>
      <c r="K715" s="321" t="s">
        <v>4380</v>
      </c>
      <c r="L715" s="201"/>
      <c r="M715" s="201"/>
      <c r="N715" s="201"/>
      <c r="O715" s="201"/>
      <c r="P715" s="201">
        <v>335160.40000000002</v>
      </c>
      <c r="Q715" s="201">
        <v>1400000</v>
      </c>
      <c r="R715" s="201">
        <v>1400000</v>
      </c>
      <c r="S715" s="201">
        <v>1400000</v>
      </c>
      <c r="T715" s="201"/>
      <c r="U715" s="403" t="s">
        <v>5128</v>
      </c>
      <c r="V715" s="357"/>
    </row>
    <row r="716" spans="1:22" s="59" customFormat="1" outlineLevel="2" x14ac:dyDescent="0.25">
      <c r="A716" s="209">
        <v>2221</v>
      </c>
      <c r="B716" s="209">
        <v>5171</v>
      </c>
      <c r="C716" s="209">
        <v>2960</v>
      </c>
      <c r="D716" s="209">
        <v>53330</v>
      </c>
      <c r="E716" s="209">
        <v>0</v>
      </c>
      <c r="F716" s="210">
        <v>0</v>
      </c>
      <c r="G716" s="209">
        <v>0</v>
      </c>
      <c r="H716" s="209">
        <v>0</v>
      </c>
      <c r="I716" s="209">
        <v>0</v>
      </c>
      <c r="J716" s="324" t="str">
        <f t="shared" si="58"/>
        <v>2221/5171/2960/53330/0/0/0/0/0</v>
      </c>
      <c r="K716" s="324" t="s">
        <v>344</v>
      </c>
      <c r="L716" s="206">
        <v>29932</v>
      </c>
      <c r="M716" s="206">
        <v>32873</v>
      </c>
      <c r="N716" s="206">
        <v>89854</v>
      </c>
      <c r="O716" s="206">
        <v>59928.81</v>
      </c>
      <c r="P716" s="206">
        <v>33743.269999999997</v>
      </c>
      <c r="Q716" s="206">
        <v>60000</v>
      </c>
      <c r="R716" s="206">
        <v>62500</v>
      </c>
      <c r="S716" s="206">
        <v>50000</v>
      </c>
      <c r="T716" s="206"/>
      <c r="U716" s="531" t="s">
        <v>4960</v>
      </c>
      <c r="V716" s="351"/>
    </row>
    <row r="717" spans="1:22" s="59" customFormat="1" outlineLevel="2" x14ac:dyDescent="0.25">
      <c r="A717" s="209">
        <v>3632</v>
      </c>
      <c r="B717" s="209">
        <v>5171</v>
      </c>
      <c r="C717" s="209">
        <v>2960</v>
      </c>
      <c r="D717" s="209">
        <v>53330</v>
      </c>
      <c r="E717" s="209">
        <v>0</v>
      </c>
      <c r="F717" s="210">
        <v>0</v>
      </c>
      <c r="G717" s="209">
        <v>0</v>
      </c>
      <c r="H717" s="209">
        <v>0</v>
      </c>
      <c r="I717" s="209">
        <v>0</v>
      </c>
      <c r="J717" s="324" t="str">
        <f t="shared" si="58"/>
        <v>3632/5171/2960/53330/0/0/0/0/0</v>
      </c>
      <c r="K717" s="324" t="s">
        <v>345</v>
      </c>
      <c r="L717" s="206">
        <v>0</v>
      </c>
      <c r="M717" s="206">
        <v>8445</v>
      </c>
      <c r="N717" s="206">
        <v>8722</v>
      </c>
      <c r="O717" s="206">
        <v>7698.28</v>
      </c>
      <c r="P717" s="206">
        <v>7499.7</v>
      </c>
      <c r="Q717" s="206">
        <v>15000</v>
      </c>
      <c r="R717" s="206">
        <v>15000</v>
      </c>
      <c r="S717" s="206">
        <v>20000</v>
      </c>
      <c r="T717" s="206"/>
      <c r="U717" s="531" t="s">
        <v>797</v>
      </c>
      <c r="V717" s="351"/>
    </row>
    <row r="718" spans="1:22" s="59" customFormat="1" outlineLevel="2" x14ac:dyDescent="0.25">
      <c r="A718" s="209">
        <v>3421</v>
      </c>
      <c r="B718" s="209">
        <v>5171</v>
      </c>
      <c r="C718" s="209">
        <v>2960</v>
      </c>
      <c r="D718" s="209">
        <v>53330</v>
      </c>
      <c r="E718" s="209">
        <v>0</v>
      </c>
      <c r="F718" s="210">
        <v>0</v>
      </c>
      <c r="G718" s="209">
        <v>0</v>
      </c>
      <c r="H718" s="209">
        <v>0</v>
      </c>
      <c r="I718" s="209">
        <v>0</v>
      </c>
      <c r="J718" s="324" t="str">
        <f t="shared" si="58"/>
        <v>3421/5171/2960/53330/0/0/0/0/0</v>
      </c>
      <c r="K718" s="324" t="s">
        <v>346</v>
      </c>
      <c r="L718" s="206">
        <v>584990</v>
      </c>
      <c r="M718" s="206">
        <v>999251</v>
      </c>
      <c r="N718" s="206">
        <v>1626442</v>
      </c>
      <c r="O718" s="206">
        <v>793280.15</v>
      </c>
      <c r="P718" s="206">
        <v>759861.14</v>
      </c>
      <c r="Q718" s="206">
        <v>900000</v>
      </c>
      <c r="R718" s="206">
        <v>996000</v>
      </c>
      <c r="S718" s="206">
        <v>1000000</v>
      </c>
      <c r="T718" s="206"/>
      <c r="U718" s="531" t="s">
        <v>797</v>
      </c>
      <c r="V718" s="351"/>
    </row>
    <row r="719" spans="1:22" s="66" customFormat="1" outlineLevel="2" x14ac:dyDescent="0.25">
      <c r="A719" s="473">
        <v>3632</v>
      </c>
      <c r="B719" s="473">
        <v>5171</v>
      </c>
      <c r="C719" s="473">
        <v>2960</v>
      </c>
      <c r="D719" s="473">
        <v>53339</v>
      </c>
      <c r="E719" s="473">
        <v>0</v>
      </c>
      <c r="F719" s="474">
        <v>0</v>
      </c>
      <c r="G719" s="473">
        <v>0</v>
      </c>
      <c r="H719" s="473">
        <v>0</v>
      </c>
      <c r="I719" s="473">
        <v>0</v>
      </c>
      <c r="J719" s="475" t="str">
        <f t="shared" si="58"/>
        <v>3632/5171/2960/53339/0/0/0/0/0</v>
      </c>
      <c r="K719" s="475" t="s">
        <v>4464</v>
      </c>
      <c r="L719" s="476"/>
      <c r="M719" s="476"/>
      <c r="N719" s="476"/>
      <c r="O719" s="476"/>
      <c r="P719" s="476"/>
      <c r="Q719" s="476">
        <v>50000</v>
      </c>
      <c r="R719" s="476">
        <v>50000</v>
      </c>
      <c r="S719" s="476">
        <v>30000</v>
      </c>
      <c r="T719" s="476"/>
      <c r="U719" s="534" t="s">
        <v>4998</v>
      </c>
      <c r="V719" s="351"/>
    </row>
    <row r="720" spans="1:22" s="59" customFormat="1" outlineLevel="2" x14ac:dyDescent="0.25">
      <c r="A720" s="209">
        <v>2143</v>
      </c>
      <c r="B720" s="209">
        <v>5171</v>
      </c>
      <c r="C720" s="209">
        <v>2960</v>
      </c>
      <c r="D720" s="209">
        <v>53330</v>
      </c>
      <c r="E720" s="209">
        <v>0</v>
      </c>
      <c r="F720" s="210">
        <v>0</v>
      </c>
      <c r="G720" s="209">
        <v>0</v>
      </c>
      <c r="H720" s="209">
        <v>0</v>
      </c>
      <c r="I720" s="209">
        <v>0</v>
      </c>
      <c r="J720" s="324" t="str">
        <f t="shared" si="58"/>
        <v>2143/5171/2960/53330/0/0/0/0/0</v>
      </c>
      <c r="K720" s="324" t="s">
        <v>347</v>
      </c>
      <c r="L720" s="206">
        <v>0</v>
      </c>
      <c r="M720" s="206">
        <v>29874.7</v>
      </c>
      <c r="N720" s="206">
        <v>1263</v>
      </c>
      <c r="O720" s="206">
        <v>29981.360000000001</v>
      </c>
      <c r="P720" s="206"/>
      <c r="Q720" s="206">
        <v>33000</v>
      </c>
      <c r="R720" s="206">
        <v>34500</v>
      </c>
      <c r="S720" s="206">
        <v>45000</v>
      </c>
      <c r="T720" s="206"/>
      <c r="U720" s="531" t="s">
        <v>4952</v>
      </c>
      <c r="V720" s="351"/>
    </row>
    <row r="721" spans="1:22" s="59" customFormat="1" outlineLevel="2" x14ac:dyDescent="0.25">
      <c r="A721" s="473">
        <v>3745</v>
      </c>
      <c r="B721" s="473">
        <v>5169</v>
      </c>
      <c r="C721" s="473">
        <v>2960</v>
      </c>
      <c r="D721" s="473">
        <v>53339</v>
      </c>
      <c r="E721" s="473">
        <v>0</v>
      </c>
      <c r="F721" s="474">
        <v>0</v>
      </c>
      <c r="G721" s="473">
        <v>0</v>
      </c>
      <c r="H721" s="473">
        <v>0</v>
      </c>
      <c r="I721" s="473">
        <v>0</v>
      </c>
      <c r="J721" s="475" t="str">
        <f t="shared" si="58"/>
        <v>3745/5169/2960/53339/0/0/0/0/0</v>
      </c>
      <c r="K721" s="475" t="s">
        <v>4997</v>
      </c>
      <c r="L721" s="476">
        <v>30000</v>
      </c>
      <c r="M721" s="476">
        <v>29999</v>
      </c>
      <c r="N721" s="476">
        <v>29948</v>
      </c>
      <c r="O721" s="476">
        <v>19299</v>
      </c>
      <c r="P721" s="476">
        <v>29999.65</v>
      </c>
      <c r="Q721" s="476">
        <v>30000</v>
      </c>
      <c r="R721" s="476">
        <v>30000</v>
      </c>
      <c r="S721" s="476">
        <v>40000</v>
      </c>
      <c r="T721" s="476"/>
      <c r="U721" s="534" t="s">
        <v>4998</v>
      </c>
      <c r="V721" s="351"/>
    </row>
    <row r="722" spans="1:22" s="59" customFormat="1" outlineLevel="2" x14ac:dyDescent="0.25">
      <c r="A722" s="209">
        <v>2219</v>
      </c>
      <c r="B722" s="209">
        <v>5169</v>
      </c>
      <c r="C722" s="209">
        <v>2960</v>
      </c>
      <c r="D722" s="209">
        <v>53330</v>
      </c>
      <c r="E722" s="209">
        <v>0</v>
      </c>
      <c r="F722" s="210">
        <v>0</v>
      </c>
      <c r="G722" s="209">
        <v>0</v>
      </c>
      <c r="H722" s="209">
        <v>0</v>
      </c>
      <c r="I722" s="209">
        <v>0</v>
      </c>
      <c r="J722" s="324" t="str">
        <f t="shared" si="58"/>
        <v>2219/5169/2960/53330/0/0/0/0/0</v>
      </c>
      <c r="K722" s="324" t="s">
        <v>348</v>
      </c>
      <c r="L722" s="206">
        <v>5199951</v>
      </c>
      <c r="M722" s="206">
        <f>4799982+7296</f>
        <v>4807278</v>
      </c>
      <c r="N722" s="206">
        <v>5201419</v>
      </c>
      <c r="O722" s="206">
        <v>5659703.5999999996</v>
      </c>
      <c r="P722" s="206">
        <v>6852355.7300000004</v>
      </c>
      <c r="Q722" s="206">
        <v>6500000</v>
      </c>
      <c r="R722" s="206">
        <v>7386000</v>
      </c>
      <c r="S722" s="206">
        <v>8500000</v>
      </c>
      <c r="T722" s="206">
        <v>1000000</v>
      </c>
      <c r="U722" s="531" t="s">
        <v>797</v>
      </c>
      <c r="V722" s="351"/>
    </row>
    <row r="723" spans="1:22" s="59" customFormat="1" outlineLevel="2" x14ac:dyDescent="0.25">
      <c r="A723" s="209">
        <v>3639</v>
      </c>
      <c r="B723" s="209">
        <v>5171</v>
      </c>
      <c r="C723" s="209">
        <v>2960</v>
      </c>
      <c r="D723" s="209">
        <v>53330</v>
      </c>
      <c r="E723" s="209">
        <v>0</v>
      </c>
      <c r="F723" s="210">
        <v>0</v>
      </c>
      <c r="G723" s="209">
        <v>0</v>
      </c>
      <c r="H723" s="209">
        <v>0</v>
      </c>
      <c r="I723" s="209">
        <v>0</v>
      </c>
      <c r="J723" s="324" t="str">
        <f t="shared" si="58"/>
        <v>3639/5171/2960/53330/0/0/0/0/0</v>
      </c>
      <c r="K723" s="324" t="s">
        <v>349</v>
      </c>
      <c r="L723" s="206">
        <v>48488</v>
      </c>
      <c r="M723" s="206">
        <v>84947</v>
      </c>
      <c r="N723" s="206">
        <v>104862</v>
      </c>
      <c r="O723" s="206">
        <v>177601.52</v>
      </c>
      <c r="P723" s="206">
        <v>332207.93</v>
      </c>
      <c r="Q723" s="206">
        <v>300000</v>
      </c>
      <c r="R723" s="206">
        <v>303400</v>
      </c>
      <c r="S723" s="206">
        <v>350000</v>
      </c>
      <c r="T723" s="206"/>
      <c r="U723" s="531" t="s">
        <v>797</v>
      </c>
      <c r="V723" s="351"/>
    </row>
    <row r="724" spans="1:22" s="59" customFormat="1" outlineLevel="2" x14ac:dyDescent="0.25">
      <c r="A724" s="209">
        <v>3722</v>
      </c>
      <c r="B724" s="209">
        <v>5137</v>
      </c>
      <c r="C724" s="209">
        <v>2960</v>
      </c>
      <c r="D724" s="209">
        <v>53330</v>
      </c>
      <c r="E724" s="209">
        <v>0</v>
      </c>
      <c r="F724" s="210">
        <v>0</v>
      </c>
      <c r="G724" s="209">
        <v>0</v>
      </c>
      <c r="H724" s="209">
        <v>0</v>
      </c>
      <c r="I724" s="209">
        <v>0</v>
      </c>
      <c r="J724" s="324" t="str">
        <f t="shared" si="58"/>
        <v>3722/5137/2960/53330/0/0/0/0/0</v>
      </c>
      <c r="K724" s="324" t="s">
        <v>350</v>
      </c>
      <c r="L724" s="206">
        <v>7840</v>
      </c>
      <c r="M724" s="206">
        <v>8162</v>
      </c>
      <c r="N724" s="206">
        <v>22606</v>
      </c>
      <c r="O724" s="206"/>
      <c r="P724" s="206"/>
      <c r="Q724" s="206">
        <v>15000</v>
      </c>
      <c r="R724" s="206">
        <v>31100</v>
      </c>
      <c r="S724" s="206">
        <v>30000</v>
      </c>
      <c r="T724" s="206"/>
      <c r="U724" s="531" t="s">
        <v>797</v>
      </c>
      <c r="V724" s="351"/>
    </row>
    <row r="725" spans="1:22" s="59" customFormat="1" outlineLevel="2" x14ac:dyDescent="0.25">
      <c r="A725" s="209">
        <v>3722</v>
      </c>
      <c r="B725" s="209">
        <v>5171</v>
      </c>
      <c r="C725" s="209">
        <v>2960</v>
      </c>
      <c r="D725" s="209">
        <v>53330</v>
      </c>
      <c r="E725" s="209">
        <v>0</v>
      </c>
      <c r="F725" s="210">
        <v>0</v>
      </c>
      <c r="G725" s="209">
        <v>0</v>
      </c>
      <c r="H725" s="209">
        <v>0</v>
      </c>
      <c r="I725" s="209">
        <v>0</v>
      </c>
      <c r="J725" s="324" t="str">
        <f t="shared" si="58"/>
        <v>3722/5171/2960/53330/0/0/0/0/0</v>
      </c>
      <c r="K725" s="324" t="s">
        <v>351</v>
      </c>
      <c r="L725" s="206">
        <v>99762</v>
      </c>
      <c r="M725" s="206">
        <v>99887</v>
      </c>
      <c r="N725" s="206">
        <v>89849</v>
      </c>
      <c r="O725" s="206">
        <v>79769.14</v>
      </c>
      <c r="P725" s="206">
        <v>124772.29</v>
      </c>
      <c r="Q725" s="206">
        <v>100000</v>
      </c>
      <c r="R725" s="206">
        <v>104100</v>
      </c>
      <c r="S725" s="206">
        <v>120000</v>
      </c>
      <c r="T725" s="206"/>
      <c r="U725" s="531" t="s">
        <v>797</v>
      </c>
      <c r="V725" s="351"/>
    </row>
    <row r="726" spans="1:22" s="59" customFormat="1" outlineLevel="2" x14ac:dyDescent="0.25">
      <c r="A726" s="209">
        <v>2212</v>
      </c>
      <c r="B726" s="209">
        <v>5171</v>
      </c>
      <c r="C726" s="209">
        <v>2960</v>
      </c>
      <c r="D726" s="209">
        <v>53330</v>
      </c>
      <c r="E726" s="209">
        <v>0</v>
      </c>
      <c r="F726" s="210">
        <v>0</v>
      </c>
      <c r="G726" s="209">
        <v>0</v>
      </c>
      <c r="H726" s="209">
        <v>0</v>
      </c>
      <c r="I726" s="209">
        <v>0</v>
      </c>
      <c r="J726" s="324" t="str">
        <f t="shared" si="58"/>
        <v>2212/5171/2960/53330/0/0/0/0/0</v>
      </c>
      <c r="K726" s="324" t="s">
        <v>352</v>
      </c>
      <c r="L726" s="206">
        <v>8999998</v>
      </c>
      <c r="M726" s="206">
        <v>10675958.300000001</v>
      </c>
      <c r="N726" s="206">
        <v>13697586</v>
      </c>
      <c r="O726" s="206">
        <v>8209916.7599999998</v>
      </c>
      <c r="P726" s="206">
        <v>16958509.489999998</v>
      </c>
      <c r="Q726" s="206">
        <f>13000000-6000000+3000000</f>
        <v>10000000</v>
      </c>
      <c r="R726" s="206">
        <v>9892000</v>
      </c>
      <c r="S726" s="206">
        <f>10000000+2500000</f>
        <v>12500000</v>
      </c>
      <c r="T726" s="206"/>
      <c r="U726" s="531" t="s">
        <v>4956</v>
      </c>
      <c r="V726" s="351"/>
    </row>
    <row r="727" spans="1:22" s="59" customFormat="1" outlineLevel="2" x14ac:dyDescent="0.25">
      <c r="A727" s="209">
        <v>2310</v>
      </c>
      <c r="B727" s="209">
        <v>5171</v>
      </c>
      <c r="C727" s="209">
        <v>2960</v>
      </c>
      <c r="D727" s="209">
        <v>53330</v>
      </c>
      <c r="E727" s="209">
        <v>0</v>
      </c>
      <c r="F727" s="210">
        <v>0</v>
      </c>
      <c r="G727" s="209">
        <v>0</v>
      </c>
      <c r="H727" s="209">
        <v>0</v>
      </c>
      <c r="I727" s="209">
        <v>0</v>
      </c>
      <c r="J727" s="324" t="str">
        <f t="shared" si="58"/>
        <v>2310/5171/2960/53330/0/0/0/0/0</v>
      </c>
      <c r="K727" s="324" t="s">
        <v>353</v>
      </c>
      <c r="L727" s="206">
        <v>99942</v>
      </c>
      <c r="M727" s="206">
        <v>99930</v>
      </c>
      <c r="N727" s="206">
        <v>137664</v>
      </c>
      <c r="O727" s="206">
        <v>117972.22</v>
      </c>
      <c r="P727" s="206">
        <v>219998.94</v>
      </c>
      <c r="Q727" s="206">
        <v>150000</v>
      </c>
      <c r="R727" s="206">
        <v>155000</v>
      </c>
      <c r="S727" s="206">
        <v>165000</v>
      </c>
      <c r="T727" s="206"/>
      <c r="U727" s="531" t="s">
        <v>797</v>
      </c>
      <c r="V727" s="351"/>
    </row>
    <row r="728" spans="1:22" s="59" customFormat="1" outlineLevel="2" x14ac:dyDescent="0.25">
      <c r="A728" s="209">
        <v>3725</v>
      </c>
      <c r="B728" s="209">
        <v>5169</v>
      </c>
      <c r="C728" s="209">
        <v>2960</v>
      </c>
      <c r="D728" s="209">
        <v>53334</v>
      </c>
      <c r="E728" s="209">
        <v>0</v>
      </c>
      <c r="F728" s="210">
        <v>0</v>
      </c>
      <c r="G728" s="209">
        <v>0</v>
      </c>
      <c r="H728" s="209">
        <v>0</v>
      </c>
      <c r="I728" s="209">
        <v>0</v>
      </c>
      <c r="J728" s="324" t="str">
        <f t="shared" si="58"/>
        <v>3725/5169/2960/53334/0/0/0/0/0</v>
      </c>
      <c r="K728" s="324" t="s">
        <v>354</v>
      </c>
      <c r="L728" s="206">
        <v>78154</v>
      </c>
      <c r="M728" s="206">
        <v>89424</v>
      </c>
      <c r="N728" s="206">
        <v>94883</v>
      </c>
      <c r="O728" s="206">
        <v>86195.3</v>
      </c>
      <c r="P728" s="206">
        <v>88039.64</v>
      </c>
      <c r="Q728" s="206">
        <v>105000</v>
      </c>
      <c r="R728" s="206">
        <v>115000</v>
      </c>
      <c r="S728" s="206">
        <v>130000</v>
      </c>
      <c r="T728" s="206"/>
      <c r="U728" s="531" t="s">
        <v>797</v>
      </c>
      <c r="V728" s="351"/>
    </row>
    <row r="729" spans="1:22" s="59" customFormat="1" outlineLevel="2" x14ac:dyDescent="0.25">
      <c r="A729" s="209">
        <v>3725</v>
      </c>
      <c r="B729" s="209">
        <v>5164</v>
      </c>
      <c r="C729" s="209">
        <v>2960</v>
      </c>
      <c r="D729" s="209">
        <v>53333</v>
      </c>
      <c r="E729" s="209">
        <v>0</v>
      </c>
      <c r="F729" s="210">
        <v>0</v>
      </c>
      <c r="G729" s="209">
        <v>0</v>
      </c>
      <c r="H729" s="209">
        <v>0</v>
      </c>
      <c r="I729" s="209">
        <v>0</v>
      </c>
      <c r="J729" s="324" t="s">
        <v>4762</v>
      </c>
      <c r="K729" s="324" t="s">
        <v>4717</v>
      </c>
      <c r="L729" s="206"/>
      <c r="M729" s="206"/>
      <c r="N729" s="206"/>
      <c r="O729" s="206"/>
      <c r="P729" s="206"/>
      <c r="Q729" s="206"/>
      <c r="R729" s="206">
        <v>25614</v>
      </c>
      <c r="S729" s="206">
        <v>30000</v>
      </c>
      <c r="T729" s="206"/>
      <c r="U729" s="531" t="s">
        <v>797</v>
      </c>
      <c r="V729" s="351"/>
    </row>
    <row r="730" spans="1:22" s="59" customFormat="1" outlineLevel="2" x14ac:dyDescent="0.25">
      <c r="A730" s="209">
        <v>3632</v>
      </c>
      <c r="B730" s="209">
        <v>5169</v>
      </c>
      <c r="C730" s="209">
        <v>2960</v>
      </c>
      <c r="D730" s="209">
        <v>53330</v>
      </c>
      <c r="E730" s="209">
        <v>0</v>
      </c>
      <c r="F730" s="210">
        <v>0</v>
      </c>
      <c r="G730" s="209">
        <v>0</v>
      </c>
      <c r="H730" s="209">
        <v>0</v>
      </c>
      <c r="I730" s="209">
        <v>0</v>
      </c>
      <c r="J730" s="324" t="str">
        <f t="shared" ref="J730:J746" si="59">CONCATENATE(A730,"/",B730,"/",C730,"/",D730,"/",E730,"/",F730,"/",G730,"/",H730,"/",I730)</f>
        <v>3632/5169/2960/53330/0/0/0/0/0</v>
      </c>
      <c r="K730" s="324" t="s">
        <v>355</v>
      </c>
      <c r="L730" s="206">
        <v>2499917</v>
      </c>
      <c r="M730" s="206">
        <v>3049922</v>
      </c>
      <c r="N730" s="206">
        <v>3249835</v>
      </c>
      <c r="O730" s="206">
        <v>3649944.61</v>
      </c>
      <c r="P730" s="206">
        <v>3627359.26</v>
      </c>
      <c r="Q730" s="206">
        <v>3100000</v>
      </c>
      <c r="R730" s="206">
        <v>3296000</v>
      </c>
      <c r="S730" s="206">
        <v>4000000</v>
      </c>
      <c r="T730" s="206"/>
      <c r="U730" s="531" t="s">
        <v>797</v>
      </c>
      <c r="V730" s="351"/>
    </row>
    <row r="731" spans="1:22" s="59" customFormat="1" outlineLevel="2" x14ac:dyDescent="0.25">
      <c r="A731" s="209">
        <v>3632</v>
      </c>
      <c r="B731" s="209">
        <v>5169</v>
      </c>
      <c r="C731" s="209">
        <v>2960</v>
      </c>
      <c r="D731" s="209">
        <v>53332</v>
      </c>
      <c r="E731" s="209">
        <v>0</v>
      </c>
      <c r="F731" s="210">
        <v>0</v>
      </c>
      <c r="G731" s="209">
        <v>0</v>
      </c>
      <c r="H731" s="209">
        <v>0</v>
      </c>
      <c r="I731" s="209">
        <v>0</v>
      </c>
      <c r="J731" s="324" t="str">
        <f t="shared" si="59"/>
        <v>3632/5169/2960/53332/0/0/0/0/0</v>
      </c>
      <c r="K731" s="324" t="s">
        <v>356</v>
      </c>
      <c r="L731" s="206">
        <v>699999</v>
      </c>
      <c r="M731" s="206">
        <v>699998</v>
      </c>
      <c r="N731" s="206">
        <v>699999</v>
      </c>
      <c r="O731" s="206">
        <v>599999.55000000005</v>
      </c>
      <c r="P731" s="206">
        <v>599982.6</v>
      </c>
      <c r="Q731" s="206">
        <v>600000</v>
      </c>
      <c r="R731" s="206">
        <v>600000</v>
      </c>
      <c r="S731" s="206">
        <v>600000</v>
      </c>
      <c r="T731" s="206"/>
      <c r="U731" s="531" t="s">
        <v>797</v>
      </c>
      <c r="V731" s="351"/>
    </row>
    <row r="732" spans="1:22" s="59" customFormat="1" outlineLevel="2" x14ac:dyDescent="0.25">
      <c r="A732" s="209">
        <v>3722</v>
      </c>
      <c r="B732" s="209">
        <v>5169</v>
      </c>
      <c r="C732" s="209">
        <v>2960</v>
      </c>
      <c r="D732" s="209">
        <v>53330</v>
      </c>
      <c r="E732" s="209">
        <v>0</v>
      </c>
      <c r="F732" s="210">
        <v>0</v>
      </c>
      <c r="G732" s="209">
        <v>0</v>
      </c>
      <c r="H732" s="209">
        <v>1</v>
      </c>
      <c r="I732" s="209">
        <v>0</v>
      </c>
      <c r="J732" s="324" t="str">
        <f t="shared" si="59"/>
        <v>3722/5169/2960/53330/0/0/0/1/0</v>
      </c>
      <c r="K732" s="324" t="s">
        <v>357</v>
      </c>
      <c r="L732" s="206"/>
      <c r="M732" s="206">
        <v>5003</v>
      </c>
      <c r="N732" s="206">
        <v>10515</v>
      </c>
      <c r="O732" s="206">
        <v>5107.41</v>
      </c>
      <c r="P732" s="206">
        <v>4904.13</v>
      </c>
      <c r="Q732" s="206">
        <v>10000</v>
      </c>
      <c r="R732" s="206">
        <v>10400</v>
      </c>
      <c r="S732" s="206">
        <v>20000</v>
      </c>
      <c r="T732" s="206"/>
      <c r="U732" s="531" t="s">
        <v>797</v>
      </c>
      <c r="V732" s="351"/>
    </row>
    <row r="733" spans="1:22" s="59" customFormat="1" outlineLevel="2" x14ac:dyDescent="0.25">
      <c r="A733" s="209">
        <v>3725</v>
      </c>
      <c r="B733" s="209">
        <v>5169</v>
      </c>
      <c r="C733" s="209">
        <v>2960</v>
      </c>
      <c r="D733" s="209">
        <v>53331</v>
      </c>
      <c r="E733" s="209">
        <v>0</v>
      </c>
      <c r="F733" s="210">
        <v>0</v>
      </c>
      <c r="G733" s="209">
        <v>0</v>
      </c>
      <c r="H733" s="209">
        <v>0</v>
      </c>
      <c r="I733" s="209">
        <v>0</v>
      </c>
      <c r="J733" s="324" t="str">
        <f t="shared" si="59"/>
        <v>3725/5169/2960/53331/0/0/0/0/0</v>
      </c>
      <c r="K733" s="324" t="s">
        <v>358</v>
      </c>
      <c r="L733" s="206">
        <v>179865</v>
      </c>
      <c r="M733" s="206">
        <v>179965</v>
      </c>
      <c r="N733" s="206">
        <v>179966</v>
      </c>
      <c r="O733" s="206">
        <v>179920.18</v>
      </c>
      <c r="P733" s="206">
        <v>212909.18</v>
      </c>
      <c r="Q733" s="206">
        <v>213000</v>
      </c>
      <c r="R733" s="206">
        <v>245500</v>
      </c>
      <c r="S733" s="206">
        <v>300000</v>
      </c>
      <c r="T733" s="206"/>
      <c r="U733" s="531" t="s">
        <v>797</v>
      </c>
      <c r="V733" s="351"/>
    </row>
    <row r="734" spans="1:22" s="59" customFormat="1" outlineLevel="2" x14ac:dyDescent="0.25">
      <c r="A734" s="209">
        <v>3639</v>
      </c>
      <c r="B734" s="209">
        <v>5901</v>
      </c>
      <c r="C734" s="209">
        <v>2960</v>
      </c>
      <c r="D734" s="209">
        <v>53330</v>
      </c>
      <c r="E734" s="209">
        <v>0</v>
      </c>
      <c r="F734" s="210">
        <v>0</v>
      </c>
      <c r="G734" s="209">
        <v>0</v>
      </c>
      <c r="H734" s="209">
        <v>0</v>
      </c>
      <c r="I734" s="209">
        <v>0</v>
      </c>
      <c r="J734" s="324" t="str">
        <f t="shared" si="59"/>
        <v>3639/5901/2960/53330/0/0/0/0/0</v>
      </c>
      <c r="K734" s="324" t="s">
        <v>4433</v>
      </c>
      <c r="L734" s="206"/>
      <c r="M734" s="206"/>
      <c r="N734" s="206"/>
      <c r="O734" s="206"/>
      <c r="P734" s="206"/>
      <c r="Q734" s="206"/>
      <c r="R734" s="206">
        <v>3477100</v>
      </c>
      <c r="S734" s="206">
        <v>0</v>
      </c>
      <c r="T734" s="206"/>
      <c r="U734" s="531"/>
      <c r="V734" s="351"/>
    </row>
    <row r="735" spans="1:22" s="59" customFormat="1" outlineLevel="2" x14ac:dyDescent="0.25">
      <c r="A735" s="209">
        <v>3725</v>
      </c>
      <c r="B735" s="209">
        <v>5169</v>
      </c>
      <c r="C735" s="209">
        <v>2960</v>
      </c>
      <c r="D735" s="209">
        <v>53330</v>
      </c>
      <c r="E735" s="209">
        <v>0</v>
      </c>
      <c r="F735" s="210">
        <v>0</v>
      </c>
      <c r="G735" s="209">
        <v>0</v>
      </c>
      <c r="H735" s="209">
        <v>0</v>
      </c>
      <c r="I735" s="209">
        <v>0</v>
      </c>
      <c r="J735" s="324" t="str">
        <f t="shared" si="59"/>
        <v>3725/5169/2960/53330/0/0/0/0/0</v>
      </c>
      <c r="K735" s="324" t="s">
        <v>359</v>
      </c>
      <c r="L735" s="206">
        <v>699831</v>
      </c>
      <c r="M735" s="206">
        <v>597392</v>
      </c>
      <c r="N735" s="206">
        <v>679740</v>
      </c>
      <c r="O735" s="206">
        <v>549894.02</v>
      </c>
      <c r="P735" s="206">
        <v>641987.29</v>
      </c>
      <c r="Q735" s="206">
        <v>650000</v>
      </c>
      <c r="R735" s="206">
        <v>662000</v>
      </c>
      <c r="S735" s="206">
        <v>650000</v>
      </c>
      <c r="T735" s="206"/>
      <c r="U735" s="531" t="s">
        <v>797</v>
      </c>
      <c r="V735" s="351"/>
    </row>
    <row r="736" spans="1:22" s="59" customFormat="1" outlineLevel="2" x14ac:dyDescent="0.25">
      <c r="A736" s="209">
        <v>2212</v>
      </c>
      <c r="B736" s="209">
        <v>5169</v>
      </c>
      <c r="C736" s="209">
        <v>2960</v>
      </c>
      <c r="D736" s="209">
        <v>53331</v>
      </c>
      <c r="E736" s="209">
        <v>0</v>
      </c>
      <c r="F736" s="210">
        <v>0</v>
      </c>
      <c r="G736" s="209">
        <v>0</v>
      </c>
      <c r="H736" s="209">
        <v>0</v>
      </c>
      <c r="I736" s="209">
        <v>0</v>
      </c>
      <c r="J736" s="324" t="str">
        <f t="shared" si="59"/>
        <v>2212/5169/2960/53331/0/0/0/0/0</v>
      </c>
      <c r="K736" s="324" t="s">
        <v>360</v>
      </c>
      <c r="L736" s="206">
        <v>101023</v>
      </c>
      <c r="M736" s="206">
        <v>71233</v>
      </c>
      <c r="N736" s="206">
        <v>77925</v>
      </c>
      <c r="O736" s="206">
        <v>64106</v>
      </c>
      <c r="P736" s="206">
        <v>71608</v>
      </c>
      <c r="Q736" s="206">
        <v>90000</v>
      </c>
      <c r="R736" s="206">
        <v>90000</v>
      </c>
      <c r="S736" s="206">
        <v>110000</v>
      </c>
      <c r="T736" s="206"/>
      <c r="U736" s="531" t="s">
        <v>797</v>
      </c>
      <c r="V736" s="351"/>
    </row>
    <row r="737" spans="1:22" s="59" customFormat="1" outlineLevel="2" x14ac:dyDescent="0.25">
      <c r="A737" s="209">
        <v>3722</v>
      </c>
      <c r="B737" s="209">
        <v>5169</v>
      </c>
      <c r="C737" s="209">
        <v>2960</v>
      </c>
      <c r="D737" s="209">
        <v>53330</v>
      </c>
      <c r="E737" s="209">
        <v>0</v>
      </c>
      <c r="F737" s="210">
        <v>0</v>
      </c>
      <c r="G737" s="209">
        <v>0</v>
      </c>
      <c r="H737" s="209">
        <v>0</v>
      </c>
      <c r="I737" s="209">
        <v>0</v>
      </c>
      <c r="J737" s="324" t="str">
        <f t="shared" si="59"/>
        <v>3722/5169/2960/53330/0/0/0/0/0</v>
      </c>
      <c r="K737" s="324" t="s">
        <v>361</v>
      </c>
      <c r="L737" s="206">
        <v>1599721</v>
      </c>
      <c r="M737" s="206">
        <v>1649856</v>
      </c>
      <c r="N737" s="206">
        <v>1699517</v>
      </c>
      <c r="O737" s="206">
        <v>1699536.82</v>
      </c>
      <c r="P737" s="206">
        <v>1986454.58</v>
      </c>
      <c r="Q737" s="206">
        <v>1900000</v>
      </c>
      <c r="R737" s="206">
        <v>2220000</v>
      </c>
      <c r="S737" s="206">
        <v>2500000</v>
      </c>
      <c r="T737" s="206"/>
      <c r="U737" s="531" t="s">
        <v>797</v>
      </c>
      <c r="V737" s="351"/>
    </row>
    <row r="738" spans="1:22" s="59" customFormat="1" outlineLevel="2" x14ac:dyDescent="0.25">
      <c r="A738" s="209">
        <v>3745</v>
      </c>
      <c r="B738" s="209">
        <v>5169</v>
      </c>
      <c r="C738" s="209">
        <v>2960</v>
      </c>
      <c r="D738" s="209">
        <v>53331</v>
      </c>
      <c r="E738" s="209">
        <v>0</v>
      </c>
      <c r="F738" s="210">
        <v>0</v>
      </c>
      <c r="G738" s="209">
        <v>0</v>
      </c>
      <c r="H738" s="209">
        <v>0</v>
      </c>
      <c r="I738" s="209">
        <v>0</v>
      </c>
      <c r="J738" s="324" t="str">
        <f t="shared" si="59"/>
        <v>3745/5169/2960/53331/0/0/0/0/0</v>
      </c>
      <c r="K738" s="324" t="s">
        <v>362</v>
      </c>
      <c r="L738" s="206">
        <v>39265.71</v>
      </c>
      <c r="M738" s="206"/>
      <c r="N738" s="206">
        <v>87477</v>
      </c>
      <c r="O738" s="206">
        <v>391653.01</v>
      </c>
      <c r="P738" s="206">
        <v>204592.05</v>
      </c>
      <c r="Q738" s="206">
        <v>200000</v>
      </c>
      <c r="R738" s="206">
        <v>200000</v>
      </c>
      <c r="S738" s="206">
        <v>200000</v>
      </c>
      <c r="T738" s="206"/>
      <c r="U738" s="531" t="s">
        <v>797</v>
      </c>
      <c r="V738" s="351"/>
    </row>
    <row r="739" spans="1:22" s="59" customFormat="1" outlineLevel="2" x14ac:dyDescent="0.25">
      <c r="A739" s="473">
        <v>2219</v>
      </c>
      <c r="B739" s="473">
        <v>5169</v>
      </c>
      <c r="C739" s="473">
        <v>2960</v>
      </c>
      <c r="D739" s="473">
        <v>53339</v>
      </c>
      <c r="E739" s="473">
        <v>0</v>
      </c>
      <c r="F739" s="474">
        <v>0</v>
      </c>
      <c r="G739" s="473">
        <v>0</v>
      </c>
      <c r="H739" s="473">
        <v>0</v>
      </c>
      <c r="I739" s="473">
        <v>0</v>
      </c>
      <c r="J739" s="475" t="str">
        <f t="shared" si="59"/>
        <v>2219/5169/2960/53339/0/0/0/0/0</v>
      </c>
      <c r="K739" s="475" t="s">
        <v>363</v>
      </c>
      <c r="L739" s="476">
        <v>290400</v>
      </c>
      <c r="M739" s="476">
        <v>290400</v>
      </c>
      <c r="N739" s="476">
        <v>354288</v>
      </c>
      <c r="O739" s="476">
        <v>360096</v>
      </c>
      <c r="P739" s="476">
        <v>360096</v>
      </c>
      <c r="Q739" s="476">
        <v>360096</v>
      </c>
      <c r="R739" s="476">
        <v>360096</v>
      </c>
      <c r="S739" s="476">
        <v>360096</v>
      </c>
      <c r="T739" s="476"/>
      <c r="U739" s="534" t="s">
        <v>4998</v>
      </c>
      <c r="V739" s="351"/>
    </row>
    <row r="740" spans="1:22" s="59" customFormat="1" outlineLevel="2" x14ac:dyDescent="0.25">
      <c r="A740" s="209">
        <v>3725</v>
      </c>
      <c r="B740" s="209">
        <v>5169</v>
      </c>
      <c r="C740" s="209">
        <v>2960</v>
      </c>
      <c r="D740" s="209">
        <v>53333</v>
      </c>
      <c r="E740" s="209">
        <v>0</v>
      </c>
      <c r="F740" s="210">
        <v>0</v>
      </c>
      <c r="G740" s="209">
        <v>0</v>
      </c>
      <c r="H740" s="209">
        <v>1</v>
      </c>
      <c r="I740" s="209">
        <v>0</v>
      </c>
      <c r="J740" s="324" t="str">
        <f t="shared" si="59"/>
        <v>3725/5169/2960/53333/0/0/0/1/0</v>
      </c>
      <c r="K740" s="324" t="s">
        <v>364</v>
      </c>
      <c r="L740" s="206">
        <v>11368</v>
      </c>
      <c r="M740" s="206">
        <v>39841</v>
      </c>
      <c r="N740" s="206">
        <v>73505</v>
      </c>
      <c r="O740" s="206">
        <v>93393.14</v>
      </c>
      <c r="P740" s="206">
        <v>94526.55</v>
      </c>
      <c r="Q740" s="206">
        <v>150000</v>
      </c>
      <c r="R740" s="206">
        <v>148786</v>
      </c>
      <c r="S740" s="206">
        <v>200000</v>
      </c>
      <c r="T740" s="206"/>
      <c r="U740" s="531" t="s">
        <v>797</v>
      </c>
      <c r="V740" s="351"/>
    </row>
    <row r="741" spans="1:22" s="59" customFormat="1" outlineLevel="2" x14ac:dyDescent="0.25">
      <c r="A741" s="209">
        <v>3725</v>
      </c>
      <c r="B741" s="209">
        <v>5169</v>
      </c>
      <c r="C741" s="209">
        <v>2960</v>
      </c>
      <c r="D741" s="209">
        <v>53332</v>
      </c>
      <c r="E741" s="209">
        <v>0</v>
      </c>
      <c r="F741" s="210">
        <v>0</v>
      </c>
      <c r="G741" s="209">
        <v>0</v>
      </c>
      <c r="H741" s="209">
        <v>0</v>
      </c>
      <c r="I741" s="209">
        <v>0</v>
      </c>
      <c r="J741" s="324" t="str">
        <f t="shared" si="59"/>
        <v>3725/5169/2960/53332/0/0/0/0/0</v>
      </c>
      <c r="K741" s="324" t="s">
        <v>365</v>
      </c>
      <c r="L741" s="206">
        <v>535846</v>
      </c>
      <c r="M741" s="206">
        <v>497135</v>
      </c>
      <c r="N741" s="206">
        <v>549584</v>
      </c>
      <c r="O741" s="206">
        <v>479886.21</v>
      </c>
      <c r="P741" s="206">
        <v>527331.29</v>
      </c>
      <c r="Q741" s="206">
        <v>500000</v>
      </c>
      <c r="R741" s="206">
        <v>634000</v>
      </c>
      <c r="S741" s="206">
        <v>650000</v>
      </c>
      <c r="T741" s="206"/>
      <c r="U741" s="531" t="s">
        <v>797</v>
      </c>
      <c r="V741" s="351"/>
    </row>
    <row r="742" spans="1:22" s="59" customFormat="1" outlineLevel="2" x14ac:dyDescent="0.25">
      <c r="A742" s="209">
        <v>3631</v>
      </c>
      <c r="B742" s="209">
        <v>5154</v>
      </c>
      <c r="C742" s="209">
        <v>2960</v>
      </c>
      <c r="D742" s="209">
        <v>53330</v>
      </c>
      <c r="E742" s="209">
        <v>0</v>
      </c>
      <c r="F742" s="210">
        <v>0</v>
      </c>
      <c r="G742" s="209">
        <v>0</v>
      </c>
      <c r="H742" s="209">
        <v>0</v>
      </c>
      <c r="I742" s="209">
        <v>0</v>
      </c>
      <c r="J742" s="324" t="str">
        <f t="shared" si="59"/>
        <v>3631/5154/2960/53330/0/0/0/0/0</v>
      </c>
      <c r="K742" s="324" t="s">
        <v>5085</v>
      </c>
      <c r="L742" s="206">
        <v>3676549</v>
      </c>
      <c r="M742" s="206">
        <v>3497786</v>
      </c>
      <c r="N742" s="206">
        <v>4309999</v>
      </c>
      <c r="O742" s="206">
        <v>3919976.74</v>
      </c>
      <c r="P742" s="206">
        <v>5021000</v>
      </c>
      <c r="Q742" s="206">
        <v>11060000</v>
      </c>
      <c r="R742" s="206">
        <v>11060000</v>
      </c>
      <c r="S742" s="206">
        <v>8500000</v>
      </c>
      <c r="T742" s="206"/>
      <c r="U742" s="531" t="s">
        <v>4967</v>
      </c>
      <c r="V742" s="351"/>
    </row>
    <row r="743" spans="1:22" s="59" customFormat="1" outlineLevel="2" x14ac:dyDescent="0.25">
      <c r="A743" s="209">
        <v>3745</v>
      </c>
      <c r="B743" s="209">
        <v>5169</v>
      </c>
      <c r="C743" s="209">
        <v>2960</v>
      </c>
      <c r="D743" s="209">
        <v>53330</v>
      </c>
      <c r="E743" s="209">
        <v>0</v>
      </c>
      <c r="F743" s="210">
        <v>0</v>
      </c>
      <c r="G743" s="209">
        <v>0</v>
      </c>
      <c r="H743" s="209">
        <v>0</v>
      </c>
      <c r="I743" s="209">
        <v>0</v>
      </c>
      <c r="J743" s="324" t="str">
        <f t="shared" si="59"/>
        <v>3745/5169/2960/53330/0/0/0/0/0</v>
      </c>
      <c r="K743" s="324" t="s">
        <v>366</v>
      </c>
      <c r="L743" s="206">
        <v>15230534.76</v>
      </c>
      <c r="M743" s="206">
        <v>16690883.66</v>
      </c>
      <c r="N743" s="206">
        <v>16418321</v>
      </c>
      <c r="O743" s="206">
        <v>17359385.640000001</v>
      </c>
      <c r="P743" s="206">
        <v>17191026.280000001</v>
      </c>
      <c r="Q743" s="206">
        <f>15500000-100000</f>
        <v>15400000</v>
      </c>
      <c r="R743" s="206">
        <v>15920000</v>
      </c>
      <c r="S743" s="206">
        <v>17000000</v>
      </c>
      <c r="T743" s="206"/>
      <c r="U743" s="531" t="s">
        <v>797</v>
      </c>
      <c r="V743" s="351"/>
    </row>
    <row r="744" spans="1:22" s="59" customFormat="1" outlineLevel="2" x14ac:dyDescent="0.25">
      <c r="A744" s="209">
        <v>3631</v>
      </c>
      <c r="B744" s="209">
        <v>5171</v>
      </c>
      <c r="C744" s="209">
        <v>2960</v>
      </c>
      <c r="D744" s="209">
        <v>53330</v>
      </c>
      <c r="E744" s="209">
        <v>0</v>
      </c>
      <c r="F744" s="210">
        <v>0</v>
      </c>
      <c r="G744" s="209">
        <v>0</v>
      </c>
      <c r="H744" s="209">
        <v>0</v>
      </c>
      <c r="I744" s="209">
        <v>0</v>
      </c>
      <c r="J744" s="324" t="str">
        <f t="shared" si="59"/>
        <v>3631/5171/2960/53330/0/0/0/0/0</v>
      </c>
      <c r="K744" s="324" t="s">
        <v>367</v>
      </c>
      <c r="L744" s="206">
        <v>4297547</v>
      </c>
      <c r="M744" s="206">
        <v>2527075</v>
      </c>
      <c r="N744" s="206">
        <v>3014464</v>
      </c>
      <c r="O744" s="206">
        <v>3025893.75</v>
      </c>
      <c r="P744" s="206">
        <v>2708418</v>
      </c>
      <c r="Q744" s="206">
        <v>3400000</v>
      </c>
      <c r="R744" s="206">
        <v>4044000</v>
      </c>
      <c r="S744" s="206">
        <v>4500000</v>
      </c>
      <c r="T744" s="206"/>
      <c r="U744" s="531" t="s">
        <v>797</v>
      </c>
      <c r="V744" s="351"/>
    </row>
    <row r="745" spans="1:22" s="59" customFormat="1" outlineLevel="2" x14ac:dyDescent="0.25">
      <c r="A745" s="473">
        <v>3631</v>
      </c>
      <c r="B745" s="473">
        <v>5169</v>
      </c>
      <c r="C745" s="473">
        <v>2960</v>
      </c>
      <c r="D745" s="473">
        <v>53339</v>
      </c>
      <c r="E745" s="473">
        <v>0</v>
      </c>
      <c r="F745" s="474">
        <v>0</v>
      </c>
      <c r="G745" s="473">
        <v>0</v>
      </c>
      <c r="H745" s="473">
        <v>0</v>
      </c>
      <c r="I745" s="473">
        <v>0</v>
      </c>
      <c r="J745" s="475" t="str">
        <f t="shared" si="59"/>
        <v>3631/5169/2960/53339/0/0/0/0/0</v>
      </c>
      <c r="K745" s="475" t="s">
        <v>368</v>
      </c>
      <c r="L745" s="476">
        <v>39324</v>
      </c>
      <c r="M745" s="476">
        <v>39324</v>
      </c>
      <c r="N745" s="476">
        <v>39324</v>
      </c>
      <c r="O745" s="476">
        <v>39321.760000000002</v>
      </c>
      <c r="P745" s="476">
        <v>39320.160000000003</v>
      </c>
      <c r="Q745" s="476">
        <v>39400</v>
      </c>
      <c r="R745" s="476">
        <v>39400</v>
      </c>
      <c r="S745" s="476">
        <v>39400</v>
      </c>
      <c r="T745" s="476"/>
      <c r="U745" s="534" t="s">
        <v>4998</v>
      </c>
      <c r="V745" s="351"/>
    </row>
    <row r="746" spans="1:22" s="59" customFormat="1" outlineLevel="2" x14ac:dyDescent="0.25">
      <c r="A746" s="209">
        <v>3631</v>
      </c>
      <c r="B746" s="209">
        <v>5169</v>
      </c>
      <c r="C746" s="209">
        <v>2960</v>
      </c>
      <c r="D746" s="209">
        <v>53330</v>
      </c>
      <c r="E746" s="209">
        <v>0</v>
      </c>
      <c r="F746" s="210">
        <v>0</v>
      </c>
      <c r="G746" s="209">
        <v>0</v>
      </c>
      <c r="H746" s="209">
        <v>0</v>
      </c>
      <c r="I746" s="209">
        <v>0</v>
      </c>
      <c r="J746" s="324" t="str">
        <f t="shared" si="59"/>
        <v>3631/5169/2960/53330/0/0/0/0/0</v>
      </c>
      <c r="K746" s="324" t="s">
        <v>369</v>
      </c>
      <c r="L746" s="206">
        <v>799983</v>
      </c>
      <c r="M746" s="206">
        <v>565459</v>
      </c>
      <c r="N746" s="206">
        <v>499626</v>
      </c>
      <c r="O746" s="206">
        <v>689999.66</v>
      </c>
      <c r="P746" s="206">
        <v>663992</v>
      </c>
      <c r="Q746" s="206">
        <v>650000</v>
      </c>
      <c r="R746" s="206">
        <v>690000</v>
      </c>
      <c r="S746" s="206">
        <v>750000</v>
      </c>
      <c r="T746" s="206"/>
      <c r="U746" s="531" t="s">
        <v>797</v>
      </c>
      <c r="V746" s="351"/>
    </row>
    <row r="747" spans="1:22" s="59" customFormat="1" outlineLevel="2" x14ac:dyDescent="0.25">
      <c r="A747" s="473">
        <v>3722</v>
      </c>
      <c r="B747" s="473">
        <v>5169</v>
      </c>
      <c r="C747" s="473">
        <v>2960</v>
      </c>
      <c r="D747" s="473">
        <v>53339</v>
      </c>
      <c r="E747" s="473">
        <v>0</v>
      </c>
      <c r="F747" s="474">
        <v>0</v>
      </c>
      <c r="G747" s="473">
        <v>0</v>
      </c>
      <c r="H747" s="473">
        <v>0</v>
      </c>
      <c r="I747" s="473">
        <v>0</v>
      </c>
      <c r="J747" s="475" t="s">
        <v>4763</v>
      </c>
      <c r="K747" s="475" t="s">
        <v>5086</v>
      </c>
      <c r="L747" s="476"/>
      <c r="M747" s="476"/>
      <c r="N747" s="476"/>
      <c r="O747" s="476"/>
      <c r="P747" s="476"/>
      <c r="Q747" s="476"/>
      <c r="R747" s="476">
        <v>25000</v>
      </c>
      <c r="S747" s="476">
        <v>12000</v>
      </c>
      <c r="T747" s="476"/>
      <c r="U747" s="534" t="s">
        <v>4998</v>
      </c>
      <c r="V747" s="367"/>
    </row>
    <row r="748" spans="1:22" s="59" customFormat="1" ht="16.5" customHeight="1" outlineLevel="2" x14ac:dyDescent="0.25">
      <c r="A748" s="209">
        <v>3745</v>
      </c>
      <c r="B748" s="209">
        <v>5169</v>
      </c>
      <c r="C748" s="209">
        <v>2960</v>
      </c>
      <c r="D748" s="209">
        <v>53332</v>
      </c>
      <c r="E748" s="209">
        <v>0</v>
      </c>
      <c r="F748" s="210">
        <v>0</v>
      </c>
      <c r="G748" s="209">
        <v>0</v>
      </c>
      <c r="H748" s="209">
        <v>0</v>
      </c>
      <c r="I748" s="209">
        <v>0</v>
      </c>
      <c r="J748" s="324" t="str">
        <f t="shared" ref="J748:J760" si="60">CONCATENATE(A748,"/",B748,"/",C748,"/",D748,"/",E748,"/",F748,"/",G748,"/",H748,"/",I748)</f>
        <v>3745/5169/2960/53332/0/0/0/0/0</v>
      </c>
      <c r="K748" s="324" t="s">
        <v>370</v>
      </c>
      <c r="L748" s="206">
        <v>480123.53</v>
      </c>
      <c r="M748" s="206">
        <v>150995.34</v>
      </c>
      <c r="N748" s="206">
        <v>144327</v>
      </c>
      <c r="O748" s="206">
        <v>148838.46</v>
      </c>
      <c r="P748" s="206">
        <v>264559.51</v>
      </c>
      <c r="Q748" s="206">
        <v>350000</v>
      </c>
      <c r="R748" s="206">
        <v>350000</v>
      </c>
      <c r="S748" s="206">
        <v>350000</v>
      </c>
      <c r="T748" s="206"/>
      <c r="U748" s="531" t="s">
        <v>797</v>
      </c>
      <c r="V748" s="351"/>
    </row>
    <row r="749" spans="1:22" s="59" customFormat="1" outlineLevel="2" x14ac:dyDescent="0.25">
      <c r="A749" s="209">
        <v>2212</v>
      </c>
      <c r="B749" s="209">
        <v>5169</v>
      </c>
      <c r="C749" s="209">
        <v>2960</v>
      </c>
      <c r="D749" s="209">
        <v>53330</v>
      </c>
      <c r="E749" s="209">
        <v>0</v>
      </c>
      <c r="F749" s="210">
        <v>0</v>
      </c>
      <c r="G749" s="209">
        <v>0</v>
      </c>
      <c r="H749" s="209">
        <v>0</v>
      </c>
      <c r="I749" s="209">
        <v>0</v>
      </c>
      <c r="J749" s="324" t="str">
        <f t="shared" si="60"/>
        <v>2212/5169/2960/53330/0/0/0/0/0</v>
      </c>
      <c r="K749" s="324" t="s">
        <v>371</v>
      </c>
      <c r="L749" s="206">
        <v>2970151</v>
      </c>
      <c r="M749" s="206">
        <v>3999577</v>
      </c>
      <c r="N749" s="206">
        <v>2574953</v>
      </c>
      <c r="O749" s="206">
        <v>5299915.22</v>
      </c>
      <c r="P749" s="206">
        <v>2984982.77</v>
      </c>
      <c r="Q749" s="206">
        <v>4000000</v>
      </c>
      <c r="R749" s="206">
        <v>5683000</v>
      </c>
      <c r="S749" s="206">
        <v>5000000</v>
      </c>
      <c r="T749" s="206"/>
      <c r="U749" s="531" t="s">
        <v>797</v>
      </c>
      <c r="V749" s="351"/>
    </row>
    <row r="750" spans="1:22" s="307" customFormat="1" outlineLevel="2" x14ac:dyDescent="0.25">
      <c r="A750" s="469"/>
      <c r="B750" s="469"/>
      <c r="C750" s="469">
        <v>2960</v>
      </c>
      <c r="D750" s="470">
        <v>0</v>
      </c>
      <c r="E750" s="470">
        <v>0</v>
      </c>
      <c r="F750" s="470">
        <v>0</v>
      </c>
      <c r="G750" s="470">
        <v>0</v>
      </c>
      <c r="H750" s="469">
        <v>0</v>
      </c>
      <c r="I750" s="469">
        <v>0</v>
      </c>
      <c r="J750" s="471" t="str">
        <f t="shared" si="60"/>
        <v>//2960/0/0/0/0/0/0</v>
      </c>
      <c r="K750" s="471" t="s">
        <v>4444</v>
      </c>
      <c r="L750" s="472" t="s">
        <v>4999</v>
      </c>
      <c r="M750" s="472" t="s">
        <v>5000</v>
      </c>
      <c r="N750" s="472" t="s">
        <v>5001</v>
      </c>
      <c r="O750" s="472" t="s">
        <v>5002</v>
      </c>
      <c r="P750" s="472" t="s">
        <v>5003</v>
      </c>
      <c r="Q750" s="472" t="s">
        <v>5004</v>
      </c>
      <c r="R750" s="472" t="s">
        <v>5005</v>
      </c>
      <c r="S750" s="472" t="s">
        <v>5142</v>
      </c>
      <c r="T750" s="472" t="s">
        <v>5143</v>
      </c>
      <c r="U750" s="548"/>
      <c r="V750" s="351"/>
    </row>
    <row r="751" spans="1:22" s="59" customFormat="1" outlineLevel="2" x14ac:dyDescent="0.25">
      <c r="A751" s="193">
        <v>3745</v>
      </c>
      <c r="B751" s="193">
        <v>5169</v>
      </c>
      <c r="C751" s="193">
        <v>2960</v>
      </c>
      <c r="D751" s="193">
        <v>0</v>
      </c>
      <c r="E751" s="193">
        <v>0</v>
      </c>
      <c r="F751" s="194">
        <v>0</v>
      </c>
      <c r="G751" s="193">
        <v>0</v>
      </c>
      <c r="H751" s="193">
        <v>0</v>
      </c>
      <c r="I751" s="193">
        <v>0</v>
      </c>
      <c r="J751" s="321" t="str">
        <f t="shared" si="60"/>
        <v>3745/5169/2960/0/0/0/0/0/0</v>
      </c>
      <c r="K751" s="321" t="s">
        <v>372</v>
      </c>
      <c r="L751" s="201">
        <f>398700+6050</f>
        <v>404750</v>
      </c>
      <c r="M751" s="201">
        <v>339983</v>
      </c>
      <c r="N751" s="201">
        <v>462695</v>
      </c>
      <c r="O751" s="201">
        <v>369610</v>
      </c>
      <c r="P751" s="201">
        <v>447800</v>
      </c>
      <c r="Q751" s="201">
        <v>450000</v>
      </c>
      <c r="R751" s="201">
        <v>450000</v>
      </c>
      <c r="S751" s="201">
        <v>450000</v>
      </c>
      <c r="T751" s="201"/>
      <c r="U751" s="403"/>
      <c r="V751" s="351"/>
    </row>
    <row r="752" spans="1:22" s="59" customFormat="1" outlineLevel="2" x14ac:dyDescent="0.25">
      <c r="A752" s="193">
        <v>3745</v>
      </c>
      <c r="B752" s="193">
        <v>5139</v>
      </c>
      <c r="C752" s="193">
        <v>2960</v>
      </c>
      <c r="D752" s="193">
        <v>20628</v>
      </c>
      <c r="E752" s="193">
        <v>0</v>
      </c>
      <c r="F752" s="194">
        <v>0</v>
      </c>
      <c r="G752" s="193">
        <v>0</v>
      </c>
      <c r="H752" s="193">
        <v>0</v>
      </c>
      <c r="I752" s="193">
        <v>0</v>
      </c>
      <c r="J752" s="321" t="str">
        <f t="shared" si="60"/>
        <v>3745/5139/2960/20628/0/0/0/0/0</v>
      </c>
      <c r="K752" s="321" t="s">
        <v>373</v>
      </c>
      <c r="L752" s="201">
        <v>0</v>
      </c>
      <c r="M752" s="201"/>
      <c r="N752" s="201">
        <v>53963</v>
      </c>
      <c r="O752" s="201">
        <v>17834</v>
      </c>
      <c r="P752" s="201">
        <v>24640</v>
      </c>
      <c r="Q752" s="201"/>
      <c r="R752" s="201"/>
      <c r="S752" s="201"/>
      <c r="T752" s="201"/>
      <c r="U752" s="403"/>
      <c r="V752" s="351"/>
    </row>
    <row r="753" spans="1:22" s="59" customFormat="1" outlineLevel="2" x14ac:dyDescent="0.25">
      <c r="A753" s="193">
        <v>3745</v>
      </c>
      <c r="B753" s="193">
        <v>5171</v>
      </c>
      <c r="C753" s="193">
        <v>2960</v>
      </c>
      <c r="D753" s="193">
        <v>20628</v>
      </c>
      <c r="E753" s="193">
        <v>0</v>
      </c>
      <c r="F753" s="194">
        <v>0</v>
      </c>
      <c r="G753" s="193">
        <v>0</v>
      </c>
      <c r="H753" s="193">
        <v>0</v>
      </c>
      <c r="I753" s="193">
        <v>0</v>
      </c>
      <c r="J753" s="321" t="str">
        <f t="shared" si="60"/>
        <v>3745/5171/2960/20628/0/0/0/0/0</v>
      </c>
      <c r="K753" s="321" t="s">
        <v>374</v>
      </c>
      <c r="L753" s="201">
        <v>2137</v>
      </c>
      <c r="M753" s="201"/>
      <c r="N753" s="201"/>
      <c r="O753" s="201">
        <v>52695.5</v>
      </c>
      <c r="P753" s="201">
        <v>46585</v>
      </c>
      <c r="Q753" s="201">
        <v>80000</v>
      </c>
      <c r="R753" s="201">
        <v>80000</v>
      </c>
      <c r="S753" s="201">
        <v>80000</v>
      </c>
      <c r="T753" s="201"/>
      <c r="U753" s="403"/>
      <c r="V753" s="351"/>
    </row>
    <row r="754" spans="1:22" s="59" customFormat="1" outlineLevel="2" x14ac:dyDescent="0.25">
      <c r="A754" s="193">
        <v>3745</v>
      </c>
      <c r="B754" s="193">
        <v>5139</v>
      </c>
      <c r="C754" s="193">
        <v>2960</v>
      </c>
      <c r="D754" s="193">
        <v>0</v>
      </c>
      <c r="E754" s="193">
        <v>0</v>
      </c>
      <c r="F754" s="194">
        <v>0</v>
      </c>
      <c r="G754" s="193">
        <v>0</v>
      </c>
      <c r="H754" s="193">
        <v>0</v>
      </c>
      <c r="I754" s="193">
        <v>0</v>
      </c>
      <c r="J754" s="321" t="str">
        <f t="shared" si="60"/>
        <v>3745/5139/2960/0/0/0/0/0/0</v>
      </c>
      <c r="K754" s="321" t="s">
        <v>375</v>
      </c>
      <c r="L754" s="201">
        <v>186580</v>
      </c>
      <c r="M754" s="201">
        <v>98378</v>
      </c>
      <c r="N754" s="201">
        <v>98711.5</v>
      </c>
      <c r="O754" s="201">
        <v>81322</v>
      </c>
      <c r="P754" s="201">
        <v>63983</v>
      </c>
      <c r="Q754" s="201">
        <v>110000</v>
      </c>
      <c r="R754" s="201">
        <v>110000</v>
      </c>
      <c r="S754" s="201">
        <v>110000</v>
      </c>
      <c r="T754" s="201"/>
      <c r="U754" s="403"/>
      <c r="V754" s="351"/>
    </row>
    <row r="755" spans="1:22" s="59" customFormat="1" outlineLevel="2" x14ac:dyDescent="0.25">
      <c r="A755" s="193">
        <v>3745</v>
      </c>
      <c r="B755" s="193">
        <v>5166</v>
      </c>
      <c r="C755" s="193">
        <v>2960</v>
      </c>
      <c r="D755" s="193">
        <v>0</v>
      </c>
      <c r="E755" s="193">
        <v>0</v>
      </c>
      <c r="F755" s="194">
        <v>0</v>
      </c>
      <c r="G755" s="193">
        <v>0</v>
      </c>
      <c r="H755" s="193">
        <v>0</v>
      </c>
      <c r="I755" s="193">
        <v>0</v>
      </c>
      <c r="J755" s="321" t="str">
        <f t="shared" si="60"/>
        <v>3745/5166/2960/0/0/0/0/0/0</v>
      </c>
      <c r="K755" s="321" t="s">
        <v>376</v>
      </c>
      <c r="L755" s="201">
        <v>30193</v>
      </c>
      <c r="M755" s="201">
        <v>42333.06</v>
      </c>
      <c r="N755" s="201">
        <v>50651</v>
      </c>
      <c r="O755" s="201">
        <v>11689</v>
      </c>
      <c r="P755" s="201">
        <v>56713</v>
      </c>
      <c r="Q755" s="201">
        <v>45000</v>
      </c>
      <c r="R755" s="201">
        <v>45000</v>
      </c>
      <c r="S755" s="201">
        <v>45000</v>
      </c>
      <c r="T755" s="201"/>
      <c r="U755" s="403"/>
      <c r="V755" s="351"/>
    </row>
    <row r="756" spans="1:22" s="59" customFormat="1" outlineLevel="2" x14ac:dyDescent="0.25">
      <c r="A756" s="193">
        <v>3639</v>
      </c>
      <c r="B756" s="193">
        <v>5169</v>
      </c>
      <c r="C756" s="193">
        <v>2960</v>
      </c>
      <c r="D756" s="193">
        <v>69296</v>
      </c>
      <c r="E756" s="193">
        <v>0</v>
      </c>
      <c r="F756" s="194">
        <v>0</v>
      </c>
      <c r="G756" s="193">
        <v>0</v>
      </c>
      <c r="H756" s="193">
        <v>0</v>
      </c>
      <c r="I756" s="193">
        <v>0</v>
      </c>
      <c r="J756" s="321" t="str">
        <f t="shared" si="60"/>
        <v>3639/5169/2960/69296/0/0/0/0/0</v>
      </c>
      <c r="K756" s="321" t="s">
        <v>377</v>
      </c>
      <c r="L756" s="201">
        <v>59300</v>
      </c>
      <c r="M756" s="201">
        <v>55625</v>
      </c>
      <c r="N756" s="201">
        <v>58955</v>
      </c>
      <c r="O756" s="201">
        <v>60500</v>
      </c>
      <c r="P756" s="201">
        <v>80080</v>
      </c>
      <c r="Q756" s="201">
        <v>87000</v>
      </c>
      <c r="R756" s="201">
        <v>73260</v>
      </c>
      <c r="S756" s="201">
        <v>72000</v>
      </c>
      <c r="T756" s="201"/>
      <c r="U756" s="403"/>
      <c r="V756" s="351"/>
    </row>
    <row r="757" spans="1:22" s="59" customFormat="1" outlineLevel="2" x14ac:dyDescent="0.25">
      <c r="A757" s="193">
        <v>3631</v>
      </c>
      <c r="B757" s="193">
        <v>5169</v>
      </c>
      <c r="C757" s="193">
        <v>2960</v>
      </c>
      <c r="D757" s="193">
        <v>0</v>
      </c>
      <c r="E757" s="193">
        <v>0</v>
      </c>
      <c r="F757" s="194">
        <v>0</v>
      </c>
      <c r="G757" s="193">
        <v>0</v>
      </c>
      <c r="H757" s="193">
        <v>4</v>
      </c>
      <c r="I757" s="193">
        <v>0</v>
      </c>
      <c r="J757" s="321" t="str">
        <f t="shared" si="60"/>
        <v>3631/5169/2960/0/0/0/0/4/0</v>
      </c>
      <c r="K757" s="321" t="s">
        <v>378</v>
      </c>
      <c r="L757" s="201">
        <v>61383.3</v>
      </c>
      <c r="M757" s="201">
        <v>67844.7</v>
      </c>
      <c r="N757" s="201"/>
      <c r="O757" s="201">
        <v>94767.2</v>
      </c>
      <c r="P757" s="201">
        <v>101561.34999999999</v>
      </c>
      <c r="Q757" s="201">
        <v>100000</v>
      </c>
      <c r="R757" s="201">
        <v>100000</v>
      </c>
      <c r="S757" s="201">
        <v>100000</v>
      </c>
      <c r="T757" s="201"/>
      <c r="U757" s="403"/>
      <c r="V757" s="351"/>
    </row>
    <row r="758" spans="1:22" s="59" customFormat="1" outlineLevel="2" x14ac:dyDescent="0.25">
      <c r="A758" s="193">
        <v>3631</v>
      </c>
      <c r="B758" s="193">
        <v>5171</v>
      </c>
      <c r="C758" s="193">
        <v>2960</v>
      </c>
      <c r="D758" s="193">
        <v>0</v>
      </c>
      <c r="E758" s="193">
        <v>0</v>
      </c>
      <c r="F758" s="194">
        <v>0</v>
      </c>
      <c r="G758" s="193">
        <v>0</v>
      </c>
      <c r="H758" s="193">
        <v>0</v>
      </c>
      <c r="I758" s="193">
        <v>0</v>
      </c>
      <c r="J758" s="321" t="str">
        <f t="shared" si="60"/>
        <v>3631/5171/2960/0/0/0/0/0/0</v>
      </c>
      <c r="K758" s="321" t="s">
        <v>379</v>
      </c>
      <c r="L758" s="201">
        <v>5549.5</v>
      </c>
      <c r="M758" s="201">
        <v>5187.7</v>
      </c>
      <c r="N758" s="201">
        <v>11574.1</v>
      </c>
      <c r="O758" s="201">
        <v>8076.8</v>
      </c>
      <c r="P758" s="201">
        <v>8944.7999999999993</v>
      </c>
      <c r="Q758" s="201">
        <v>20000</v>
      </c>
      <c r="R758" s="201">
        <v>20000</v>
      </c>
      <c r="S758" s="201">
        <v>10000</v>
      </c>
      <c r="T758" s="201"/>
      <c r="U758" s="403"/>
      <c r="V758" s="356"/>
    </row>
    <row r="759" spans="1:22" s="59" customFormat="1" outlineLevel="2" x14ac:dyDescent="0.25">
      <c r="A759" s="193">
        <v>3631</v>
      </c>
      <c r="B759" s="193">
        <v>5169</v>
      </c>
      <c r="C759" s="193">
        <v>2960</v>
      </c>
      <c r="D759" s="193">
        <v>0</v>
      </c>
      <c r="E759" s="193">
        <v>0</v>
      </c>
      <c r="F759" s="194">
        <v>0</v>
      </c>
      <c r="G759" s="193">
        <v>0</v>
      </c>
      <c r="H759" s="193">
        <v>0</v>
      </c>
      <c r="I759" s="193">
        <v>0</v>
      </c>
      <c r="J759" s="321" t="str">
        <f t="shared" si="60"/>
        <v>3631/5169/2960/0/0/0/0/0/0</v>
      </c>
      <c r="K759" s="321" t="s">
        <v>380</v>
      </c>
      <c r="L759" s="201">
        <f>57906.6+4907</f>
        <v>62813.599999999999</v>
      </c>
      <c r="M759" s="201">
        <v>60836.3</v>
      </c>
      <c r="N759" s="201">
        <v>44068</v>
      </c>
      <c r="O759" s="201"/>
      <c r="P759" s="201"/>
      <c r="Q759" s="201">
        <v>20000</v>
      </c>
      <c r="R759" s="201">
        <v>20000</v>
      </c>
      <c r="S759" s="201">
        <v>20000</v>
      </c>
      <c r="T759" s="201"/>
      <c r="U759" s="403"/>
      <c r="V759" s="351"/>
    </row>
    <row r="760" spans="1:22" s="59" customFormat="1" outlineLevel="2" x14ac:dyDescent="0.25">
      <c r="A760" s="193">
        <v>3639</v>
      </c>
      <c r="B760" s="193">
        <v>5169</v>
      </c>
      <c r="C760" s="193">
        <v>2960</v>
      </c>
      <c r="D760" s="193">
        <v>49810</v>
      </c>
      <c r="E760" s="193">
        <v>0</v>
      </c>
      <c r="F760" s="194">
        <v>0</v>
      </c>
      <c r="G760" s="193">
        <v>0</v>
      </c>
      <c r="H760" s="193">
        <v>0</v>
      </c>
      <c r="I760" s="193">
        <v>0</v>
      </c>
      <c r="J760" s="321" t="str">
        <f t="shared" si="60"/>
        <v>3639/5169/2960/49810/0/0/0/0/0</v>
      </c>
      <c r="K760" s="321" t="s">
        <v>381</v>
      </c>
      <c r="L760" s="201">
        <f>1134263+251004</f>
        <v>1385267</v>
      </c>
      <c r="M760" s="201">
        <f>1002658+251004</f>
        <v>1253662</v>
      </c>
      <c r="N760" s="201">
        <v>1075566</v>
      </c>
      <c r="O760" s="201">
        <f>1039992+122804</f>
        <v>1162796</v>
      </c>
      <c r="P760" s="201">
        <f>1680685+1694+80970</f>
        <v>1763349</v>
      </c>
      <c r="Q760" s="201">
        <v>1900000</v>
      </c>
      <c r="R760" s="201">
        <v>1900000</v>
      </c>
      <c r="S760" s="201">
        <v>1900000</v>
      </c>
      <c r="T760" s="201"/>
      <c r="U760" s="403" t="s">
        <v>4978</v>
      </c>
      <c r="V760" s="351"/>
    </row>
    <row r="761" spans="1:22" s="59" customFormat="1" outlineLevel="2" x14ac:dyDescent="0.25">
      <c r="A761" s="193">
        <v>1014</v>
      </c>
      <c r="B761" s="193">
        <v>5222</v>
      </c>
      <c r="C761" s="193">
        <v>2960</v>
      </c>
      <c r="D761" s="193">
        <v>45589</v>
      </c>
      <c r="E761" s="193">
        <v>0</v>
      </c>
      <c r="F761" s="194">
        <v>0</v>
      </c>
      <c r="G761" s="193">
        <v>0</v>
      </c>
      <c r="H761" s="193">
        <v>0</v>
      </c>
      <c r="I761" s="193">
        <v>0</v>
      </c>
      <c r="J761" s="321" t="s">
        <v>4767</v>
      </c>
      <c r="K761" s="321" t="s">
        <v>4714</v>
      </c>
      <c r="L761" s="201"/>
      <c r="M761" s="201"/>
      <c r="N761" s="201"/>
      <c r="O761" s="201"/>
      <c r="P761" s="201"/>
      <c r="Q761" s="201"/>
      <c r="R761" s="201">
        <v>5000</v>
      </c>
      <c r="S761" s="201">
        <v>0</v>
      </c>
      <c r="T761" s="201"/>
      <c r="U761" s="403" t="s">
        <v>4950</v>
      </c>
      <c r="V761" s="351"/>
    </row>
    <row r="762" spans="1:22" s="59" customFormat="1" outlineLevel="2" x14ac:dyDescent="0.25">
      <c r="A762" s="193">
        <v>1014</v>
      </c>
      <c r="B762" s="193">
        <v>5171</v>
      </c>
      <c r="C762" s="193">
        <v>2960</v>
      </c>
      <c r="D762" s="193">
        <v>69739</v>
      </c>
      <c r="E762" s="193">
        <v>0</v>
      </c>
      <c r="F762" s="194">
        <v>0</v>
      </c>
      <c r="G762" s="193">
        <v>0</v>
      </c>
      <c r="H762" s="193">
        <v>0</v>
      </c>
      <c r="I762" s="193">
        <v>0</v>
      </c>
      <c r="J762" s="321" t="str">
        <f>CONCATENATE(A762,"/",B762,"/",C762,"/",D762,"/",E762,"/",F762,"/",G762,"/",H762,"/",I762)</f>
        <v>1014/5171/2960/69739/0/0/0/0/0</v>
      </c>
      <c r="K762" s="321" t="s">
        <v>382</v>
      </c>
      <c r="L762" s="201">
        <v>0</v>
      </c>
      <c r="M762" s="201">
        <v>6514.64</v>
      </c>
      <c r="N762" s="201"/>
      <c r="O762" s="201"/>
      <c r="P762" s="201"/>
      <c r="Q762" s="201">
        <v>8000</v>
      </c>
      <c r="R762" s="201">
        <v>8000</v>
      </c>
      <c r="S762" s="201">
        <v>8000</v>
      </c>
      <c r="T762" s="201"/>
      <c r="U762" s="403" t="s">
        <v>4948</v>
      </c>
      <c r="V762" s="351"/>
    </row>
    <row r="763" spans="1:22" s="59" customFormat="1" outlineLevel="2" x14ac:dyDescent="0.25">
      <c r="A763" s="197">
        <v>6171</v>
      </c>
      <c r="B763" s="197">
        <v>5901</v>
      </c>
      <c r="C763" s="197">
        <v>2960</v>
      </c>
      <c r="D763" s="197">
        <v>69102</v>
      </c>
      <c r="E763" s="197">
        <v>0</v>
      </c>
      <c r="F763" s="306">
        <v>0</v>
      </c>
      <c r="G763" s="197">
        <v>0</v>
      </c>
      <c r="H763" s="197">
        <v>0</v>
      </c>
      <c r="I763" s="197">
        <v>0</v>
      </c>
      <c r="J763" s="334" t="str">
        <f>CONCATENATE(A763,"/",B763,"/",C763,"/",D763,"/",E763,"/",F763,"/",G763,"/",H763,"/",I763)</f>
        <v>6171/5901/2960/69102/0/0/0/0/0</v>
      </c>
      <c r="K763" s="334" t="s">
        <v>4764</v>
      </c>
      <c r="L763" s="362"/>
      <c r="M763" s="362"/>
      <c r="N763" s="362"/>
      <c r="O763" s="362"/>
      <c r="P763" s="362">
        <f>1837.43+10412.05</f>
        <v>12249.48</v>
      </c>
      <c r="Q763" s="362">
        <f>18000</f>
        <v>18000</v>
      </c>
      <c r="R763" s="362">
        <v>18000</v>
      </c>
      <c r="S763" s="201">
        <v>2500</v>
      </c>
      <c r="T763" s="201"/>
      <c r="U763" s="403" t="s">
        <v>4980</v>
      </c>
      <c r="V763" s="351"/>
    </row>
    <row r="764" spans="1:22" s="59" customFormat="1" outlineLevel="2" x14ac:dyDescent="0.25">
      <c r="A764" s="193">
        <v>6171</v>
      </c>
      <c r="B764" s="193">
        <v>5901</v>
      </c>
      <c r="C764" s="193">
        <v>2960</v>
      </c>
      <c r="D764" s="193">
        <v>69102</v>
      </c>
      <c r="E764" s="193">
        <v>0</v>
      </c>
      <c r="F764" s="194">
        <v>0</v>
      </c>
      <c r="G764" s="193">
        <v>601</v>
      </c>
      <c r="H764" s="193">
        <v>42</v>
      </c>
      <c r="I764" s="193">
        <v>0</v>
      </c>
      <c r="J764" s="321" t="s">
        <v>4993</v>
      </c>
      <c r="K764" s="321" t="s">
        <v>4981</v>
      </c>
      <c r="L764" s="201"/>
      <c r="M764" s="201"/>
      <c r="N764" s="201"/>
      <c r="O764" s="201"/>
      <c r="P764" s="201"/>
      <c r="Q764" s="201"/>
      <c r="R764" s="201"/>
      <c r="S764" s="201">
        <v>1500</v>
      </c>
      <c r="T764" s="201"/>
      <c r="U764" s="403" t="s">
        <v>4980</v>
      </c>
      <c r="V764" s="351"/>
    </row>
    <row r="765" spans="1:22" s="59" customFormat="1" outlineLevel="2" x14ac:dyDescent="0.25">
      <c r="A765" s="193">
        <v>0</v>
      </c>
      <c r="B765" s="193">
        <v>5000</v>
      </c>
      <c r="C765" s="193">
        <v>2960</v>
      </c>
      <c r="D765" s="193">
        <v>0</v>
      </c>
      <c r="E765" s="193">
        <v>0</v>
      </c>
      <c r="F765" s="194">
        <v>0</v>
      </c>
      <c r="G765" s="193">
        <v>0</v>
      </c>
      <c r="H765" s="193">
        <v>0</v>
      </c>
      <c r="I765" s="193">
        <v>0</v>
      </c>
      <c r="J765" s="321" t="str">
        <f>CONCATENATE(A765,"/",B765,"/",C765,"/",D765,"/",E765,"/",F765,"/",G765,"/",H765,"/",I765)</f>
        <v>0/5000/2960/0/0/0/0/0/0</v>
      </c>
      <c r="K765" s="321" t="s">
        <v>3842</v>
      </c>
      <c r="L765" s="201">
        <v>5551823.0099999998</v>
      </c>
      <c r="M765" s="201">
        <v>3395607.61</v>
      </c>
      <c r="N765" s="201">
        <v>2950919.44</v>
      </c>
      <c r="O765" s="201">
        <v>5479831.6699999999</v>
      </c>
      <c r="P765" s="201">
        <v>16793594.75</v>
      </c>
      <c r="Q765" s="201"/>
      <c r="R765" s="201"/>
      <c r="S765" s="201"/>
      <c r="T765" s="201"/>
      <c r="U765" s="403"/>
      <c r="V765" s="351"/>
    </row>
    <row r="766" spans="1:22" s="59" customFormat="1" outlineLevel="1" x14ac:dyDescent="0.25">
      <c r="A766" s="491"/>
      <c r="B766" s="491"/>
      <c r="C766" s="499" t="s">
        <v>4681</v>
      </c>
      <c r="D766" s="491"/>
      <c r="E766" s="491"/>
      <c r="F766" s="492"/>
      <c r="G766" s="491"/>
      <c r="H766" s="491"/>
      <c r="I766" s="491"/>
      <c r="J766" s="493">
        <v>2960</v>
      </c>
      <c r="K766" s="493" t="str">
        <f>VLOOKUP(J766,orJ_správce_telefon_mail!A:B,2,0)</f>
        <v>Odbor správy majetku - Ing. Maternová -  Technické oddělení - Ing. Štolbová</v>
      </c>
      <c r="L766" s="494">
        <f t="shared" ref="L766:T766" si="61">SUBTOTAL(9,L649:L765)</f>
        <v>83819603.489999995</v>
      </c>
      <c r="M766" s="494">
        <f t="shared" si="61"/>
        <v>83904247.739999995</v>
      </c>
      <c r="N766" s="494">
        <f t="shared" si="61"/>
        <v>92086379.699999988</v>
      </c>
      <c r="O766" s="494">
        <f t="shared" si="61"/>
        <v>93643002.140000001</v>
      </c>
      <c r="P766" s="494">
        <f t="shared" si="61"/>
        <v>115903156.73999998</v>
      </c>
      <c r="Q766" s="494">
        <f t="shared" si="61"/>
        <v>105219000</v>
      </c>
      <c r="R766" s="494">
        <f t="shared" si="61"/>
        <v>113428000</v>
      </c>
      <c r="S766" s="494">
        <f t="shared" si="61"/>
        <v>114645000</v>
      </c>
      <c r="T766" s="494">
        <f t="shared" si="61"/>
        <v>1020000</v>
      </c>
      <c r="U766" s="541"/>
      <c r="V766" s="351"/>
    </row>
    <row r="767" spans="1:22" s="59" customFormat="1" outlineLevel="2" x14ac:dyDescent="0.25">
      <c r="A767" s="193">
        <v>3612</v>
      </c>
      <c r="B767" s="193">
        <v>5166</v>
      </c>
      <c r="C767" s="193">
        <v>2997</v>
      </c>
      <c r="D767" s="193">
        <v>0</v>
      </c>
      <c r="E767" s="193">
        <v>0</v>
      </c>
      <c r="F767" s="194">
        <v>0</v>
      </c>
      <c r="G767" s="193">
        <v>0</v>
      </c>
      <c r="H767" s="193">
        <v>0</v>
      </c>
      <c r="I767" s="193">
        <v>0</v>
      </c>
      <c r="J767" s="321" t="str">
        <f t="shared" ref="J767:J772" si="62">CONCATENATE(A767,"/",B767,"/",C767,"/",D767,"/",E767,"/",F767,"/",G767,"/",H767,"/",I767)</f>
        <v>3612/5166/2997/0/0/0/0/0/0</v>
      </c>
      <c r="K767" s="321" t="s">
        <v>575</v>
      </c>
      <c r="L767" s="201">
        <v>0</v>
      </c>
      <c r="M767" s="201">
        <v>17000</v>
      </c>
      <c r="N767" s="201">
        <v>47600</v>
      </c>
      <c r="O767" s="201">
        <v>8192</v>
      </c>
      <c r="P767" s="201">
        <v>24505</v>
      </c>
      <c r="Q767" s="201">
        <v>20000</v>
      </c>
      <c r="R767" s="201">
        <v>20000</v>
      </c>
      <c r="S767" s="201">
        <v>20000</v>
      </c>
      <c r="T767" s="201"/>
      <c r="U767" s="403"/>
      <c r="V767" s="351"/>
    </row>
    <row r="768" spans="1:22" s="59" customFormat="1" outlineLevel="2" x14ac:dyDescent="0.25">
      <c r="A768" s="187">
        <v>3612</v>
      </c>
      <c r="B768" s="187">
        <v>5169</v>
      </c>
      <c r="C768" s="187">
        <v>2997</v>
      </c>
      <c r="D768" s="187">
        <v>0</v>
      </c>
      <c r="E768" s="187">
        <v>0</v>
      </c>
      <c r="F768" s="187">
        <v>0</v>
      </c>
      <c r="G768" s="187">
        <v>0</v>
      </c>
      <c r="H768" s="187">
        <v>0</v>
      </c>
      <c r="I768" s="187">
        <v>0</v>
      </c>
      <c r="J768" s="327" t="str">
        <f t="shared" si="62"/>
        <v>3612/5169/2997/0/0/0/0/0/0</v>
      </c>
      <c r="K768" s="327" t="s">
        <v>3752</v>
      </c>
      <c r="L768" s="200"/>
      <c r="M768" s="200"/>
      <c r="N768" s="200"/>
      <c r="O768" s="200">
        <v>76900</v>
      </c>
      <c r="P768" s="200">
        <v>39000</v>
      </c>
      <c r="Q768" s="200"/>
      <c r="R768" s="200"/>
      <c r="S768" s="201"/>
      <c r="T768" s="201"/>
      <c r="U768" s="403"/>
      <c r="V768" s="351"/>
    </row>
    <row r="769" spans="1:22" s="59" customFormat="1" outlineLevel="2" x14ac:dyDescent="0.25">
      <c r="A769" s="193">
        <v>3639</v>
      </c>
      <c r="B769" s="193">
        <v>5362</v>
      </c>
      <c r="C769" s="193">
        <v>2997</v>
      </c>
      <c r="D769" s="193">
        <v>0</v>
      </c>
      <c r="E769" s="193">
        <v>0</v>
      </c>
      <c r="F769" s="194">
        <v>0</v>
      </c>
      <c r="G769" s="193">
        <v>0</v>
      </c>
      <c r="H769" s="193">
        <v>0</v>
      </c>
      <c r="I769" s="193">
        <v>0</v>
      </c>
      <c r="J769" s="321" t="str">
        <f t="shared" si="62"/>
        <v>3639/5362/2997/0/0/0/0/0/0</v>
      </c>
      <c r="K769" s="321" t="s">
        <v>3701</v>
      </c>
      <c r="L769" s="201">
        <v>317601</v>
      </c>
      <c r="M769" s="201">
        <v>316463</v>
      </c>
      <c r="N769" s="201">
        <v>313710</v>
      </c>
      <c r="O769" s="201">
        <v>313693</v>
      </c>
      <c r="P769" s="201">
        <v>235657</v>
      </c>
      <c r="Q769" s="201">
        <v>300000</v>
      </c>
      <c r="R769" s="201">
        <v>300000</v>
      </c>
      <c r="S769" s="201">
        <v>300000</v>
      </c>
      <c r="T769" s="201"/>
      <c r="U769" s="403"/>
      <c r="V769" s="351"/>
    </row>
    <row r="770" spans="1:22" s="59" customFormat="1" outlineLevel="2" x14ac:dyDescent="0.25">
      <c r="A770" s="193">
        <v>3639</v>
      </c>
      <c r="B770" s="193">
        <v>5169</v>
      </c>
      <c r="C770" s="193">
        <v>2997</v>
      </c>
      <c r="D770" s="193">
        <v>69001</v>
      </c>
      <c r="E770" s="193">
        <v>0</v>
      </c>
      <c r="F770" s="194">
        <v>0</v>
      </c>
      <c r="G770" s="193">
        <v>0</v>
      </c>
      <c r="H770" s="193">
        <v>0</v>
      </c>
      <c r="I770" s="193">
        <v>0</v>
      </c>
      <c r="J770" s="321" t="str">
        <f t="shared" si="62"/>
        <v>3639/5169/2997/69001/0/0/0/0/0</v>
      </c>
      <c r="K770" s="321" t="s">
        <v>576</v>
      </c>
      <c r="L770" s="201">
        <v>34485</v>
      </c>
      <c r="M770" s="201">
        <v>32428</v>
      </c>
      <c r="N770" s="201">
        <v>82885</v>
      </c>
      <c r="O770" s="201">
        <v>94211</v>
      </c>
      <c r="P770" s="201">
        <v>276412</v>
      </c>
      <c r="Q770" s="201">
        <v>250000</v>
      </c>
      <c r="R770" s="201">
        <v>174250</v>
      </c>
      <c r="S770" s="201">
        <v>150000</v>
      </c>
      <c r="T770" s="201"/>
      <c r="U770" s="403"/>
      <c r="V770" s="351"/>
    </row>
    <row r="771" spans="1:22" s="59" customFormat="1" outlineLevel="2" x14ac:dyDescent="0.25">
      <c r="A771" s="193">
        <v>3639</v>
      </c>
      <c r="B771" s="193">
        <v>5169</v>
      </c>
      <c r="C771" s="193">
        <v>2997</v>
      </c>
      <c r="D771" s="193">
        <v>69002</v>
      </c>
      <c r="E771" s="193">
        <v>0</v>
      </c>
      <c r="F771" s="194">
        <v>0</v>
      </c>
      <c r="G771" s="193">
        <v>0</v>
      </c>
      <c r="H771" s="193">
        <v>0</v>
      </c>
      <c r="I771" s="193">
        <v>0</v>
      </c>
      <c r="J771" s="321" t="str">
        <f t="shared" si="62"/>
        <v>3639/5169/2997/69002/0/0/0/0/0</v>
      </c>
      <c r="K771" s="321" t="s">
        <v>577</v>
      </c>
      <c r="L771" s="201">
        <v>198.97</v>
      </c>
      <c r="M771" s="201">
        <v>1003</v>
      </c>
      <c r="N771" s="201">
        <v>3018</v>
      </c>
      <c r="O771" s="201">
        <v>3630</v>
      </c>
      <c r="P771" s="201"/>
      <c r="Q771" s="201">
        <v>4000</v>
      </c>
      <c r="R771" s="201">
        <v>4000</v>
      </c>
      <c r="S771" s="201">
        <v>4000</v>
      </c>
      <c r="T771" s="201"/>
      <c r="U771" s="403"/>
      <c r="V771" s="351"/>
    </row>
    <row r="772" spans="1:22" s="59" customFormat="1" outlineLevel="2" x14ac:dyDescent="0.25">
      <c r="A772" s="193">
        <v>3639</v>
      </c>
      <c r="B772" s="193">
        <v>5361</v>
      </c>
      <c r="C772" s="193">
        <v>2997</v>
      </c>
      <c r="D772" s="193">
        <v>0</v>
      </c>
      <c r="E772" s="193">
        <v>0</v>
      </c>
      <c r="F772" s="194">
        <v>0</v>
      </c>
      <c r="G772" s="193">
        <v>0</v>
      </c>
      <c r="H772" s="193">
        <v>0</v>
      </c>
      <c r="I772" s="193">
        <v>0</v>
      </c>
      <c r="J772" s="321" t="str">
        <f t="shared" si="62"/>
        <v>3639/5361/2997/0/0/0/0/0/0</v>
      </c>
      <c r="K772" s="321" t="s">
        <v>578</v>
      </c>
      <c r="L772" s="201">
        <v>8000</v>
      </c>
      <c r="M772" s="201">
        <v>8000</v>
      </c>
      <c r="N772" s="201">
        <v>7000</v>
      </c>
      <c r="O772" s="201">
        <v>16000</v>
      </c>
      <c r="P772" s="201">
        <v>8000</v>
      </c>
      <c r="Q772" s="201">
        <v>10000</v>
      </c>
      <c r="R772" s="201">
        <v>10000</v>
      </c>
      <c r="S772" s="201">
        <v>10000</v>
      </c>
      <c r="T772" s="201"/>
      <c r="U772" s="403"/>
      <c r="V772" s="351"/>
    </row>
    <row r="773" spans="1:22" s="59" customFormat="1" outlineLevel="2" x14ac:dyDescent="0.25">
      <c r="A773" s="193">
        <v>3613</v>
      </c>
      <c r="B773" s="193">
        <v>5122</v>
      </c>
      <c r="C773" s="193">
        <v>2997</v>
      </c>
      <c r="D773" s="193">
        <v>0</v>
      </c>
      <c r="E773" s="193">
        <v>0</v>
      </c>
      <c r="F773" s="194">
        <v>0</v>
      </c>
      <c r="G773" s="193">
        <v>0</v>
      </c>
      <c r="H773" s="193">
        <v>0</v>
      </c>
      <c r="I773" s="193">
        <v>0</v>
      </c>
      <c r="J773" s="321" t="s">
        <v>4982</v>
      </c>
      <c r="K773" s="321" t="s">
        <v>579</v>
      </c>
      <c r="L773" s="201"/>
      <c r="M773" s="201"/>
      <c r="N773" s="201"/>
      <c r="O773" s="201"/>
      <c r="P773" s="201"/>
      <c r="Q773" s="201"/>
      <c r="R773" s="201"/>
      <c r="S773" s="201">
        <v>20000</v>
      </c>
      <c r="T773" s="201"/>
      <c r="U773" s="403"/>
      <c r="V773" s="351"/>
    </row>
    <row r="774" spans="1:22" s="59" customFormat="1" outlineLevel="2" x14ac:dyDescent="0.25">
      <c r="A774" s="193">
        <v>3639</v>
      </c>
      <c r="B774" s="193">
        <v>5122</v>
      </c>
      <c r="C774" s="193">
        <v>2997</v>
      </c>
      <c r="D774" s="193">
        <v>0</v>
      </c>
      <c r="E774" s="193">
        <v>0</v>
      </c>
      <c r="F774" s="194">
        <v>0</v>
      </c>
      <c r="G774" s="193">
        <v>0</v>
      </c>
      <c r="H774" s="193">
        <v>0</v>
      </c>
      <c r="I774" s="193">
        <v>0</v>
      </c>
      <c r="J774" s="321" t="str">
        <f>CONCATENATE(A774,"/",B774,"/",C774,"/",D774,"/",E774,"/",F774,"/",G774,"/",H774,"/",I774)</f>
        <v>3639/5122/2997/0/0/0/0/0/0</v>
      </c>
      <c r="K774" s="321" t="s">
        <v>579</v>
      </c>
      <c r="L774" s="201">
        <v>1605</v>
      </c>
      <c r="M774" s="201">
        <v>9800</v>
      </c>
      <c r="N774" s="201">
        <v>29120</v>
      </c>
      <c r="O774" s="201">
        <v>15495.16</v>
      </c>
      <c r="P774" s="201">
        <v>8660</v>
      </c>
      <c r="Q774" s="201">
        <v>20000</v>
      </c>
      <c r="R774" s="201">
        <v>20000</v>
      </c>
      <c r="S774" s="201"/>
      <c r="T774" s="201"/>
      <c r="U774" s="403"/>
      <c r="V774" s="351"/>
    </row>
    <row r="775" spans="1:22" s="59" customFormat="1" outlineLevel="2" x14ac:dyDescent="0.25">
      <c r="A775" s="193">
        <v>3639</v>
      </c>
      <c r="B775" s="193">
        <v>5166</v>
      </c>
      <c r="C775" s="193">
        <v>2997</v>
      </c>
      <c r="D775" s="193">
        <v>10005</v>
      </c>
      <c r="E775" s="193">
        <v>0</v>
      </c>
      <c r="F775" s="194">
        <v>0</v>
      </c>
      <c r="G775" s="193">
        <v>0</v>
      </c>
      <c r="H775" s="193">
        <v>0</v>
      </c>
      <c r="I775" s="193">
        <v>0</v>
      </c>
      <c r="J775" s="321" t="str">
        <f>CONCATENATE(A775,"/",B775,"/",C775,"/",D775,"/",E775,"/",F775,"/",G775,"/",H775,"/",I775)</f>
        <v>3639/5166/2997/10005/0/0/0/0/0</v>
      </c>
      <c r="K775" s="321" t="s">
        <v>580</v>
      </c>
      <c r="L775" s="201">
        <v>49245</v>
      </c>
      <c r="M775" s="201">
        <v>47075</v>
      </c>
      <c r="N775" s="201">
        <v>52410</v>
      </c>
      <c r="O775" s="201">
        <v>89200</v>
      </c>
      <c r="P775" s="201">
        <v>86575</v>
      </c>
      <c r="Q775" s="201">
        <v>150000</v>
      </c>
      <c r="R775" s="201">
        <v>150000</v>
      </c>
      <c r="S775" s="201">
        <v>100000</v>
      </c>
      <c r="T775" s="201"/>
      <c r="U775" s="403"/>
      <c r="V775" s="351"/>
    </row>
    <row r="776" spans="1:22" s="59" customFormat="1" outlineLevel="2" x14ac:dyDescent="0.25">
      <c r="A776" s="187">
        <v>3639</v>
      </c>
      <c r="B776" s="187">
        <v>5192</v>
      </c>
      <c r="C776" s="187">
        <v>2997</v>
      </c>
      <c r="D776" s="187">
        <v>0</v>
      </c>
      <c r="E776" s="187">
        <v>0</v>
      </c>
      <c r="F776" s="187">
        <v>0</v>
      </c>
      <c r="G776" s="187">
        <v>0</v>
      </c>
      <c r="H776" s="187">
        <v>0</v>
      </c>
      <c r="I776" s="187">
        <v>0</v>
      </c>
      <c r="J776" s="327" t="str">
        <f>CONCATENATE(A776,"/",B776,"/",C776,"/",D776,"/",E776,"/",F776,"/",G776,"/",H776,"/",I776)</f>
        <v>3639/5192/2997/0/0/0/0/0/0</v>
      </c>
      <c r="K776" s="327" t="s">
        <v>3760</v>
      </c>
      <c r="L776" s="200"/>
      <c r="M776" s="200"/>
      <c r="N776" s="200"/>
      <c r="O776" s="200">
        <v>142575.25</v>
      </c>
      <c r="P776" s="200"/>
      <c r="Q776" s="200"/>
      <c r="R776" s="200">
        <v>150000</v>
      </c>
      <c r="S776" s="201"/>
      <c r="T776" s="201"/>
      <c r="U776" s="403"/>
      <c r="V776" s="351"/>
    </row>
    <row r="777" spans="1:22" s="59" customFormat="1" outlineLevel="2" x14ac:dyDescent="0.25">
      <c r="A777" s="193">
        <v>3639</v>
      </c>
      <c r="B777" s="193">
        <v>5365</v>
      </c>
      <c r="C777" s="193">
        <v>2997</v>
      </c>
      <c r="D777" s="193">
        <v>0</v>
      </c>
      <c r="E777" s="193">
        <v>0</v>
      </c>
      <c r="F777" s="194">
        <v>0</v>
      </c>
      <c r="G777" s="193">
        <v>0</v>
      </c>
      <c r="H777" s="193">
        <v>0</v>
      </c>
      <c r="I777" s="193">
        <v>0</v>
      </c>
      <c r="J777" s="321" t="str">
        <f>CONCATENATE(A777,"/",B777,"/",C777,"/",D777,"/",E777,"/",F777,"/",G777,"/",H777,"/",I777)</f>
        <v>3639/5365/2997/0/0/0/0/0/0</v>
      </c>
      <c r="K777" s="321" t="s">
        <v>581</v>
      </c>
      <c r="L777" s="201">
        <v>0</v>
      </c>
      <c r="M777" s="201"/>
      <c r="N777" s="201">
        <v>1500</v>
      </c>
      <c r="O777" s="201"/>
      <c r="P777" s="201"/>
      <c r="Q777" s="201">
        <v>5000</v>
      </c>
      <c r="R777" s="201">
        <v>5000</v>
      </c>
      <c r="S777" s="201">
        <v>5000</v>
      </c>
      <c r="T777" s="201"/>
      <c r="U777" s="403"/>
      <c r="V777" s="351"/>
    </row>
    <row r="778" spans="1:22" s="59" customFormat="1" outlineLevel="2" x14ac:dyDescent="0.25">
      <c r="A778" s="194">
        <v>3613</v>
      </c>
      <c r="B778" s="194">
        <v>5166</v>
      </c>
      <c r="C778" s="194">
        <v>2997</v>
      </c>
      <c r="D778" s="194">
        <v>0</v>
      </c>
      <c r="E778" s="194">
        <v>0</v>
      </c>
      <c r="F778" s="194">
        <v>0</v>
      </c>
      <c r="G778" s="194">
        <v>0</v>
      </c>
      <c r="H778" s="194">
        <v>0</v>
      </c>
      <c r="I778" s="194">
        <v>0</v>
      </c>
      <c r="J778" s="320" t="str">
        <f>CONCATENATE(A778,"/",B778,"/",C778,"/",D778,"/",E778,"/",F778,"/",G778,"/",H778,"/",I778)</f>
        <v>3613/5166/2997/0/0/0/0/0/0</v>
      </c>
      <c r="K778" s="320" t="s">
        <v>582</v>
      </c>
      <c r="L778" s="201">
        <v>14520</v>
      </c>
      <c r="M778" s="201"/>
      <c r="N778" s="201"/>
      <c r="O778" s="201">
        <v>34922</v>
      </c>
      <c r="P778" s="201">
        <v>33786</v>
      </c>
      <c r="Q778" s="201">
        <v>40000</v>
      </c>
      <c r="R778" s="201">
        <v>17000</v>
      </c>
      <c r="S778" s="201"/>
      <c r="T778" s="201"/>
      <c r="U778" s="403"/>
      <c r="V778" s="351"/>
    </row>
    <row r="779" spans="1:22" s="59" customFormat="1" outlineLevel="1" x14ac:dyDescent="0.25">
      <c r="A779" s="492"/>
      <c r="B779" s="492"/>
      <c r="C779" s="508" t="s">
        <v>4682</v>
      </c>
      <c r="D779" s="492"/>
      <c r="E779" s="492"/>
      <c r="F779" s="492"/>
      <c r="G779" s="492"/>
      <c r="H779" s="492"/>
      <c r="I779" s="492"/>
      <c r="J779" s="493">
        <v>2997</v>
      </c>
      <c r="K779" s="493" t="str">
        <f>VLOOKUP(J779,orJ_správce_telefon_mail!A:B,2,0)</f>
        <v>Odbor správy majetku - Ing. Maternová - Oddělení majetkové - Ing. Heřmanová</v>
      </c>
      <c r="L779" s="494">
        <f t="shared" ref="L779:T779" si="63">SUBTOTAL(9,L767:L778)</f>
        <v>425654.97</v>
      </c>
      <c r="M779" s="494">
        <f t="shared" si="63"/>
        <v>431769</v>
      </c>
      <c r="N779" s="494">
        <f t="shared" si="63"/>
        <v>537243</v>
      </c>
      <c r="O779" s="494">
        <f t="shared" si="63"/>
        <v>794818.41</v>
      </c>
      <c r="P779" s="494">
        <f t="shared" si="63"/>
        <v>712595</v>
      </c>
      <c r="Q779" s="494">
        <f t="shared" si="63"/>
        <v>799000</v>
      </c>
      <c r="R779" s="494">
        <f t="shared" si="63"/>
        <v>850250</v>
      </c>
      <c r="S779" s="494">
        <f t="shared" si="63"/>
        <v>609000</v>
      </c>
      <c r="T779" s="494">
        <f t="shared" si="63"/>
        <v>0</v>
      </c>
      <c r="U779" s="541"/>
      <c r="V779" s="351"/>
    </row>
    <row r="780" spans="1:22" s="59" customFormat="1" outlineLevel="2" x14ac:dyDescent="0.25">
      <c r="A780" s="187">
        <v>3612</v>
      </c>
      <c r="B780" s="187">
        <v>5171</v>
      </c>
      <c r="C780" s="194">
        <v>2998</v>
      </c>
      <c r="D780" s="187">
        <v>0</v>
      </c>
      <c r="E780" s="187">
        <v>0</v>
      </c>
      <c r="F780" s="187">
        <v>0</v>
      </c>
      <c r="G780" s="187">
        <v>0</v>
      </c>
      <c r="H780" s="193">
        <v>0</v>
      </c>
      <c r="I780" s="193">
        <v>0</v>
      </c>
      <c r="J780" s="321" t="str">
        <f>CONCATENATE(A780,"/",B780,"/",C780,"/",D780,"/",E780,"/",F780,"/",G780,"/",H780,"/",I780)</f>
        <v>3612/5171/2998/0/0/0/0/0/0</v>
      </c>
      <c r="K780" s="321" t="s">
        <v>4768</v>
      </c>
      <c r="L780" s="201"/>
      <c r="M780" s="201"/>
      <c r="N780" s="201"/>
      <c r="O780" s="201"/>
      <c r="P780" s="201"/>
      <c r="Q780" s="201">
        <v>2000000</v>
      </c>
      <c r="R780" s="201">
        <v>4500900</v>
      </c>
      <c r="S780" s="201"/>
      <c r="T780" s="201"/>
      <c r="U780" s="403"/>
      <c r="V780" s="351"/>
    </row>
    <row r="781" spans="1:22" s="59" customFormat="1" outlineLevel="1" x14ac:dyDescent="0.25">
      <c r="A781" s="492"/>
      <c r="B781" s="492"/>
      <c r="C781" s="508" t="s">
        <v>4683</v>
      </c>
      <c r="D781" s="492"/>
      <c r="E781" s="492"/>
      <c r="F781" s="492"/>
      <c r="G781" s="492"/>
      <c r="H781" s="491"/>
      <c r="I781" s="491"/>
      <c r="J781" s="493">
        <v>2998</v>
      </c>
      <c r="K781" s="493" t="str">
        <f>VLOOKUP(J781,orJ_správce_telefon_mail!A:B,2,0)</f>
        <v>Fond na obnovu nemovitého majetku ve vlastnictví Města Kutná Hora - spadá pod OSM</v>
      </c>
      <c r="L781" s="494">
        <f t="shared" ref="L781:T781" si="64">SUBTOTAL(9,L780:L780)</f>
        <v>0</v>
      </c>
      <c r="M781" s="494">
        <f t="shared" si="64"/>
        <v>0</v>
      </c>
      <c r="N781" s="494">
        <f t="shared" si="64"/>
        <v>0</v>
      </c>
      <c r="O781" s="494">
        <f t="shared" si="64"/>
        <v>0</v>
      </c>
      <c r="P781" s="494">
        <f t="shared" si="64"/>
        <v>0</v>
      </c>
      <c r="Q781" s="494">
        <f t="shared" si="64"/>
        <v>2000000</v>
      </c>
      <c r="R781" s="494">
        <f t="shared" si="64"/>
        <v>4500900</v>
      </c>
      <c r="S781" s="494">
        <f t="shared" si="64"/>
        <v>0</v>
      </c>
      <c r="T781" s="494">
        <f t="shared" si="64"/>
        <v>0</v>
      </c>
      <c r="U781" s="541"/>
      <c r="V781" s="351"/>
    </row>
    <row r="782" spans="1:22" s="59" customFormat="1" outlineLevel="2" x14ac:dyDescent="0.25">
      <c r="A782" s="193">
        <v>3634</v>
      </c>
      <c r="B782" s="194">
        <v>5171</v>
      </c>
      <c r="C782" s="194">
        <v>2999</v>
      </c>
      <c r="D782" s="194">
        <v>53320</v>
      </c>
      <c r="E782" s="193">
        <v>0</v>
      </c>
      <c r="F782" s="194">
        <v>0</v>
      </c>
      <c r="G782" s="193">
        <v>0</v>
      </c>
      <c r="H782" s="194">
        <v>0</v>
      </c>
      <c r="I782" s="194">
        <v>0</v>
      </c>
      <c r="J782" s="320" t="str">
        <f>CONCATENATE(A782,"/",B782,"/",C782,"/",D782,"/",E782,"/",F782,"/",G782,"/",H782,"/",I782)</f>
        <v>3634/5171/2999/53320/0/0/0/0/0</v>
      </c>
      <c r="K782" s="320" t="s">
        <v>4410</v>
      </c>
      <c r="L782" s="201"/>
      <c r="M782" s="201"/>
      <c r="N782" s="201"/>
      <c r="O782" s="201"/>
      <c r="P782" s="201">
        <v>123640.48</v>
      </c>
      <c r="Q782" s="201">
        <v>2500000</v>
      </c>
      <c r="R782" s="201">
        <v>2500000</v>
      </c>
      <c r="S782" s="201"/>
      <c r="T782" s="201"/>
      <c r="U782" s="403"/>
      <c r="V782" s="351"/>
    </row>
    <row r="783" spans="1:22" s="59" customFormat="1" outlineLevel="2" x14ac:dyDescent="0.25">
      <c r="A783" s="193">
        <v>3634</v>
      </c>
      <c r="B783" s="194">
        <v>5163</v>
      </c>
      <c r="C783" s="194">
        <v>2999</v>
      </c>
      <c r="D783" s="194">
        <v>0</v>
      </c>
      <c r="E783" s="193">
        <v>0</v>
      </c>
      <c r="F783" s="194">
        <v>0</v>
      </c>
      <c r="G783" s="193">
        <v>0</v>
      </c>
      <c r="H783" s="194">
        <v>0</v>
      </c>
      <c r="I783" s="194">
        <v>0</v>
      </c>
      <c r="J783" s="320" t="str">
        <f>CONCATENATE(A783,"/",B783,"/",C783,"/",D783,"/",E783,"/",F783,"/",G783,"/",H783,"/",I783)</f>
        <v>3634/5163/2999/0/0/0/0/0/0</v>
      </c>
      <c r="K783" s="320" t="s">
        <v>4409</v>
      </c>
      <c r="L783" s="201"/>
      <c r="M783" s="201"/>
      <c r="N783" s="201"/>
      <c r="O783" s="201"/>
      <c r="P783" s="201">
        <v>208</v>
      </c>
      <c r="Q783" s="201">
        <v>1500</v>
      </c>
      <c r="R783" s="201">
        <v>1500</v>
      </c>
      <c r="S783" s="201"/>
      <c r="T783" s="201"/>
      <c r="U783" s="403"/>
      <c r="V783" s="351"/>
    </row>
    <row r="784" spans="1:22" s="59" customFormat="1" outlineLevel="2" x14ac:dyDescent="0.25">
      <c r="A784" s="193">
        <v>3634</v>
      </c>
      <c r="B784" s="194">
        <v>5166</v>
      </c>
      <c r="C784" s="194">
        <v>2999</v>
      </c>
      <c r="D784" s="194">
        <v>53320</v>
      </c>
      <c r="E784" s="193">
        <v>0</v>
      </c>
      <c r="F784" s="194">
        <v>0</v>
      </c>
      <c r="G784" s="193">
        <v>0</v>
      </c>
      <c r="H784" s="194">
        <v>0</v>
      </c>
      <c r="I784" s="194">
        <v>0</v>
      </c>
      <c r="J784" s="320" t="str">
        <f>CONCATENATE(A784,"/",B784,"/",C784,"/",D784,"/",E784,"/",F784,"/",G784,"/",H784,"/",I784)</f>
        <v>3634/5166/2999/53320/0/0/0/0/0</v>
      </c>
      <c r="K784" s="320" t="s">
        <v>4411</v>
      </c>
      <c r="L784" s="201"/>
      <c r="M784" s="201"/>
      <c r="N784" s="201"/>
      <c r="O784" s="201"/>
      <c r="P784" s="201">
        <v>73424.009999999995</v>
      </c>
      <c r="Q784" s="201">
        <v>50000</v>
      </c>
      <c r="R784" s="201">
        <v>50000</v>
      </c>
      <c r="S784" s="201"/>
      <c r="T784" s="201"/>
      <c r="U784" s="403"/>
      <c r="V784" s="351"/>
    </row>
    <row r="785" spans="1:22" s="59" customFormat="1" ht="27" customHeight="1" outlineLevel="2" x14ac:dyDescent="0.25">
      <c r="A785" s="193">
        <v>3634</v>
      </c>
      <c r="B785" s="194">
        <v>5137</v>
      </c>
      <c r="C785" s="194">
        <v>2999</v>
      </c>
      <c r="D785" s="194">
        <v>53320</v>
      </c>
      <c r="E785" s="193">
        <v>0</v>
      </c>
      <c r="F785" s="194">
        <v>0</v>
      </c>
      <c r="G785" s="193">
        <v>0</v>
      </c>
      <c r="H785" s="194">
        <v>0</v>
      </c>
      <c r="I785" s="194">
        <v>0</v>
      </c>
      <c r="J785" s="320" t="str">
        <f>CONCATENATE(A785,"/",B785,"/",C785,"/",D785,"/",E785,"/",F785,"/",G785,"/",H785,"/",I785)</f>
        <v>3634/5137/2999/53320/0/0/0/0/0</v>
      </c>
      <c r="K785" s="320" t="s">
        <v>4432</v>
      </c>
      <c r="L785" s="201">
        <v>533529.53</v>
      </c>
      <c r="M785" s="201">
        <v>218546.05</v>
      </c>
      <c r="N785" s="201">
        <v>110634.43</v>
      </c>
      <c r="O785" s="201">
        <v>416943</v>
      </c>
      <c r="P785" s="201">
        <v>329120</v>
      </c>
      <c r="Q785" s="201">
        <v>50000</v>
      </c>
      <c r="R785" s="201">
        <v>50000</v>
      </c>
      <c r="S785" s="201"/>
      <c r="T785" s="201"/>
      <c r="U785" s="403"/>
      <c r="V785" s="351"/>
    </row>
    <row r="786" spans="1:22" s="59" customFormat="1" outlineLevel="1" x14ac:dyDescent="0.25">
      <c r="A786" s="491"/>
      <c r="B786" s="492"/>
      <c r="C786" s="508" t="s">
        <v>4684</v>
      </c>
      <c r="D786" s="492"/>
      <c r="E786" s="491"/>
      <c r="F786" s="492"/>
      <c r="G786" s="491"/>
      <c r="H786" s="492"/>
      <c r="I786" s="492"/>
      <c r="J786" s="493">
        <v>2999</v>
      </c>
      <c r="K786" s="493" t="str">
        <f>VLOOKUP(J786,orJ_správce_telefon_mail!A:B,2,0)</f>
        <v>Fond rozvoje tepelného hospodářství - spadá pod OSM-TO</v>
      </c>
      <c r="L786" s="494">
        <f t="shared" ref="L786:T786" si="65">SUBTOTAL(9,L782:L785)</f>
        <v>533529.53</v>
      </c>
      <c r="M786" s="494">
        <f t="shared" si="65"/>
        <v>218546.05</v>
      </c>
      <c r="N786" s="494">
        <f t="shared" si="65"/>
        <v>110634.43</v>
      </c>
      <c r="O786" s="494">
        <f t="shared" si="65"/>
        <v>416943</v>
      </c>
      <c r="P786" s="494">
        <f t="shared" si="65"/>
        <v>526392.49</v>
      </c>
      <c r="Q786" s="494">
        <f t="shared" si="65"/>
        <v>2601500</v>
      </c>
      <c r="R786" s="494">
        <f t="shared" si="65"/>
        <v>2601500</v>
      </c>
      <c r="S786" s="494">
        <f t="shared" si="65"/>
        <v>0</v>
      </c>
      <c r="T786" s="494">
        <f t="shared" si="65"/>
        <v>0</v>
      </c>
      <c r="U786" s="541"/>
      <c r="V786" s="351"/>
    </row>
    <row r="787" spans="1:22" s="59" customFormat="1" x14ac:dyDescent="0.25">
      <c r="A787" s="193"/>
      <c r="B787" s="194"/>
      <c r="C787" s="480" t="s">
        <v>4685</v>
      </c>
      <c r="D787" s="194"/>
      <c r="E787" s="193"/>
      <c r="F787" s="194"/>
      <c r="G787" s="193"/>
      <c r="H787" s="194"/>
      <c r="I787" s="194"/>
      <c r="J787" s="320"/>
      <c r="K787" s="320"/>
      <c r="L787" s="201">
        <f t="shared" ref="L787:T787" si="66">SUBTOTAL(9,L3:L785)</f>
        <v>395705787.87</v>
      </c>
      <c r="M787" s="201">
        <f t="shared" si="66"/>
        <v>409469186.15999997</v>
      </c>
      <c r="N787" s="201">
        <f t="shared" si="66"/>
        <v>422700837.67999995</v>
      </c>
      <c r="O787" s="201">
        <f t="shared" si="66"/>
        <v>424334228.83999991</v>
      </c>
      <c r="P787" s="201">
        <f t="shared" si="66"/>
        <v>495551287.86000013</v>
      </c>
      <c r="Q787" s="201">
        <f t="shared" si="66"/>
        <v>507207780</v>
      </c>
      <c r="R787" s="201">
        <f t="shared" si="66"/>
        <v>563749170.23000002</v>
      </c>
      <c r="S787" s="201">
        <f t="shared" si="66"/>
        <v>541587367</v>
      </c>
      <c r="T787" s="201">
        <f t="shared" si="66"/>
        <v>13288965</v>
      </c>
      <c r="U787" s="403"/>
      <c r="V787" s="351"/>
    </row>
    <row r="788" spans="1:22" x14ac:dyDescent="0.25">
      <c r="A788" s="251" t="s">
        <v>583</v>
      </c>
      <c r="B788" s="251"/>
      <c r="C788" s="251"/>
      <c r="D788" s="251"/>
      <c r="E788" s="251"/>
      <c r="F788" s="443"/>
      <c r="G788" s="251"/>
      <c r="H788" s="251"/>
      <c r="I788" s="251"/>
      <c r="J788" s="339"/>
      <c r="K788" s="339" t="s">
        <v>3809</v>
      </c>
      <c r="L788" s="368">
        <v>395705787.87</v>
      </c>
      <c r="M788" s="368">
        <v>409469186.16000003</v>
      </c>
      <c r="N788" s="368">
        <v>422700837.67999995</v>
      </c>
      <c r="O788" s="368">
        <f>1638431153.27-1197834964.43-O791</f>
        <v>424334228.83999991</v>
      </c>
      <c r="P788" s="368">
        <f>518903237.86-P791</f>
        <v>495551287.86000001</v>
      </c>
      <c r="Q788" s="368">
        <v>507207780</v>
      </c>
      <c r="R788" s="368">
        <f>602471000.23-R791</f>
        <v>563749170.23000002</v>
      </c>
      <c r="S788" s="368">
        <v>541587367</v>
      </c>
      <c r="T788" s="368"/>
      <c r="U788" s="549"/>
    </row>
    <row r="789" spans="1:22" x14ac:dyDescent="0.25">
      <c r="L789" s="343">
        <f>L787-L788</f>
        <v>0</v>
      </c>
      <c r="M789" s="343">
        <f t="shared" ref="M789:S789" si="67">M787-M788</f>
        <v>0</v>
      </c>
      <c r="N789" s="343">
        <f t="shared" si="67"/>
        <v>0</v>
      </c>
      <c r="O789" s="343">
        <f t="shared" si="67"/>
        <v>0</v>
      </c>
      <c r="P789" s="343">
        <f t="shared" si="67"/>
        <v>0</v>
      </c>
      <c r="Q789" s="343">
        <f t="shared" si="67"/>
        <v>0</v>
      </c>
      <c r="R789" s="343">
        <f t="shared" si="67"/>
        <v>0</v>
      </c>
      <c r="S789" s="343">
        <f t="shared" si="67"/>
        <v>0</v>
      </c>
    </row>
    <row r="790" spans="1:22" x14ac:dyDescent="0.25">
      <c r="A790" s="252"/>
      <c r="B790" s="252"/>
      <c r="C790" s="252"/>
      <c r="D790" s="252"/>
      <c r="E790" s="252"/>
      <c r="F790" s="455"/>
      <c r="G790" s="252"/>
      <c r="H790" s="252"/>
      <c r="I790" s="252"/>
      <c r="J790" s="456"/>
      <c r="K790" s="456"/>
      <c r="L790" s="457"/>
      <c r="M790" s="457"/>
      <c r="N790" s="457"/>
      <c r="O790" s="457"/>
      <c r="P790" s="457"/>
      <c r="Q790" s="457"/>
      <c r="R790" s="457"/>
      <c r="S790" s="457"/>
      <c r="T790" s="457"/>
      <c r="U790" s="551"/>
    </row>
    <row r="791" spans="1:22" x14ac:dyDescent="0.25">
      <c r="A791" s="260">
        <v>6399</v>
      </c>
      <c r="B791" s="260">
        <v>5365</v>
      </c>
      <c r="C791" s="260">
        <v>2090</v>
      </c>
      <c r="D791" s="261"/>
      <c r="E791" s="261"/>
      <c r="F791" s="445"/>
      <c r="G791" s="261"/>
      <c r="H791" s="261"/>
      <c r="I791" s="261"/>
      <c r="J791" s="341"/>
      <c r="K791" s="341" t="s">
        <v>62</v>
      </c>
      <c r="L791" s="369">
        <v>13880640</v>
      </c>
      <c r="M791" s="369">
        <v>15841360</v>
      </c>
      <c r="N791" s="369">
        <v>14321810</v>
      </c>
      <c r="O791" s="369">
        <v>16261960</v>
      </c>
      <c r="P791" s="369">
        <f>PŘÍJMY!P365</f>
        <v>23351950</v>
      </c>
      <c r="Q791" s="369">
        <v>0</v>
      </c>
      <c r="R791" s="436">
        <v>38721830</v>
      </c>
      <c r="S791" s="369"/>
      <c r="T791" s="369"/>
      <c r="U791" s="552"/>
    </row>
  </sheetData>
  <sortState ref="A252:U297">
    <sortCondition ref="K252:K297"/>
  </sortState>
  <conditionalFormatting sqref="A71:H71 A73:H73 A72:I72 K72:U72">
    <cfRule type="containsText" priority="51" operator="containsText" text="celkem">
      <formula>NOT(ISERROR(SEARCH("celkem",A71)))</formula>
    </cfRule>
  </conditionalFormatting>
  <conditionalFormatting sqref="I71:U71 I73:U73">
    <cfRule type="containsText" priority="46" operator="containsText" text="celkem">
      <formula>NOT(ISERROR(SEARCH("celkem",I71)))</formula>
    </cfRule>
  </conditionalFormatting>
  <conditionalFormatting sqref="J601:J1048576 J556:J599 J366 J221:J249 J1:J7 J298:J344 J346:J350 J352:J364 J541:J554 J73:J137 J39:J61 J153:J219 J368:J459 J461:J538 J11:J37 J64:J71 J251:J296">
    <cfRule type="duplicateValues" dxfId="45" priority="43"/>
  </conditionalFormatting>
  <conditionalFormatting sqref="J220">
    <cfRule type="duplicateValues" dxfId="44" priority="42"/>
  </conditionalFormatting>
  <conditionalFormatting sqref="J250">
    <cfRule type="duplicateValues" dxfId="43" priority="41"/>
  </conditionalFormatting>
  <conditionalFormatting sqref="J297">
    <cfRule type="duplicateValues" dxfId="42" priority="40"/>
  </conditionalFormatting>
  <conditionalFormatting sqref="J345">
    <cfRule type="duplicateValues" dxfId="41" priority="38"/>
  </conditionalFormatting>
  <conditionalFormatting sqref="J351">
    <cfRule type="duplicateValues" dxfId="40" priority="37"/>
  </conditionalFormatting>
  <conditionalFormatting sqref="J38">
    <cfRule type="duplicateValues" dxfId="39" priority="36"/>
  </conditionalFormatting>
  <conditionalFormatting sqref="J10">
    <cfRule type="duplicateValues" dxfId="38" priority="32"/>
  </conditionalFormatting>
  <conditionalFormatting sqref="J10">
    <cfRule type="duplicateValues" dxfId="37" priority="31"/>
  </conditionalFormatting>
  <conditionalFormatting sqref="J10">
    <cfRule type="duplicateValues" dxfId="36" priority="30"/>
  </conditionalFormatting>
  <conditionalFormatting sqref="J766 J303 J54 J8:J9 J63 J82 J105 J190 J202 J239 J241 J243 J310 J380 J401 J409 J421 J433 J438 J441 J445 J465 J468 J485 J492 J591 J648 J779 J781 J786">
    <cfRule type="duplicateValues" dxfId="35" priority="29"/>
  </conditionalFormatting>
  <conditionalFormatting sqref="J54">
    <cfRule type="duplicateValues" dxfId="34" priority="28"/>
  </conditionalFormatting>
  <conditionalFormatting sqref="J54">
    <cfRule type="duplicateValues" dxfId="33" priority="27"/>
  </conditionalFormatting>
  <conditionalFormatting sqref="J365">
    <cfRule type="duplicateValues" dxfId="32" priority="26"/>
  </conditionalFormatting>
  <conditionalFormatting sqref="J365">
    <cfRule type="duplicateValues" dxfId="31" priority="25"/>
  </conditionalFormatting>
  <conditionalFormatting sqref="J365">
    <cfRule type="duplicateValues" dxfId="30" priority="24"/>
  </conditionalFormatting>
  <conditionalFormatting sqref="J367">
    <cfRule type="duplicateValues" dxfId="29" priority="23"/>
  </conditionalFormatting>
  <conditionalFormatting sqref="J367">
    <cfRule type="duplicateValues" dxfId="28" priority="22"/>
  </conditionalFormatting>
  <conditionalFormatting sqref="J367">
    <cfRule type="duplicateValues" dxfId="27" priority="21"/>
  </conditionalFormatting>
  <conditionalFormatting sqref="J555">
    <cfRule type="duplicateValues" dxfId="26" priority="20"/>
  </conditionalFormatting>
  <conditionalFormatting sqref="J555">
    <cfRule type="duplicateValues" dxfId="25" priority="19"/>
  </conditionalFormatting>
  <conditionalFormatting sqref="J555">
    <cfRule type="duplicateValues" dxfId="24" priority="18"/>
  </conditionalFormatting>
  <conditionalFormatting sqref="J539">
    <cfRule type="duplicateValues" dxfId="23" priority="17"/>
  </conditionalFormatting>
  <conditionalFormatting sqref="J539">
    <cfRule type="duplicateValues" dxfId="22" priority="16"/>
  </conditionalFormatting>
  <conditionalFormatting sqref="J539">
    <cfRule type="duplicateValues" dxfId="21" priority="15"/>
  </conditionalFormatting>
  <conditionalFormatting sqref="J540">
    <cfRule type="duplicateValues" dxfId="20" priority="14"/>
  </conditionalFormatting>
  <conditionalFormatting sqref="J540">
    <cfRule type="duplicateValues" dxfId="19" priority="13"/>
  </conditionalFormatting>
  <conditionalFormatting sqref="J540">
    <cfRule type="duplicateValues" dxfId="18" priority="12"/>
  </conditionalFormatting>
  <conditionalFormatting sqref="J600">
    <cfRule type="duplicateValues" dxfId="17" priority="11"/>
  </conditionalFormatting>
  <conditionalFormatting sqref="J600">
    <cfRule type="duplicateValues" dxfId="16" priority="10"/>
  </conditionalFormatting>
  <conditionalFormatting sqref="J600">
    <cfRule type="duplicateValues" dxfId="15" priority="9"/>
  </conditionalFormatting>
  <conditionalFormatting sqref="J72">
    <cfRule type="duplicateValues" dxfId="14" priority="3"/>
  </conditionalFormatting>
  <conditionalFormatting sqref="J62:J63">
    <cfRule type="duplicateValues" dxfId="13" priority="1"/>
  </conditionalFormatting>
  <conditionalFormatting sqref="J138:J152">
    <cfRule type="duplicateValues" dxfId="12" priority="2495"/>
  </conditionalFormatting>
  <printOptions headings="1"/>
  <pageMargins left="0.70866141732283472" right="0.70866141732283472" top="0.78740157480314965" bottom="0.78740157480314965" header="0.31496062992125984" footer="0.31496062992125984"/>
  <pageSetup paperSize="9" scale="46" fitToHeight="999" orientation="landscape" r:id="rId1"/>
  <headerFooter>
    <oddHeader>&amp;LPROVOZNÍ VÝDAJE</oddHeader>
    <oddFooter>&amp;A&amp;RStránka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S121"/>
  <sheetViews>
    <sheetView tabSelected="1" view="pageBreakPreview" zoomScale="90" zoomScaleNormal="90" zoomScaleSheetLayoutView="90" workbookViewId="0">
      <pane ySplit="2" topLeftCell="A3" activePane="bottomLeft" state="frozen"/>
      <selection activeCell="K180" sqref="K179:K180"/>
      <selection pane="bottomLeft" activeCell="C61" sqref="C61"/>
    </sheetView>
  </sheetViews>
  <sheetFormatPr defaultColWidth="8.85546875" defaultRowHeight="15" outlineLevelRow="2" x14ac:dyDescent="0.25"/>
  <cols>
    <col min="1" max="1" width="6" style="39" bestFit="1" customWidth="1"/>
    <col min="2" max="2" width="5.7109375" style="39" bestFit="1" customWidth="1"/>
    <col min="3" max="3" width="10.28515625" style="195" bestFit="1" customWidth="1"/>
    <col min="4" max="4" width="7.7109375" style="195" customWidth="1"/>
    <col min="5" max="5" width="8.28515625" style="39" bestFit="1" customWidth="1"/>
    <col min="6" max="6" width="9.85546875" style="39" bestFit="1" customWidth="1"/>
    <col min="7" max="7" width="26.5703125" style="39" hidden="1" customWidth="1"/>
    <col min="8" max="8" width="71" style="69" bestFit="1" customWidth="1"/>
    <col min="9" max="9" width="18.5703125" style="80" hidden="1" customWidth="1"/>
    <col min="10" max="10" width="20.28515625" style="80" hidden="1" customWidth="1"/>
    <col min="11" max="11" width="18" style="80" hidden="1" customWidth="1"/>
    <col min="12" max="12" width="22.85546875" style="79" hidden="1" customWidth="1"/>
    <col min="13" max="13" width="19.42578125" style="79" customWidth="1"/>
    <col min="14" max="14" width="16.7109375" style="242" customWidth="1"/>
    <col min="15" max="15" width="17.5703125" style="242" customWidth="1"/>
    <col min="16" max="16" width="16.7109375" style="242" customWidth="1"/>
    <col min="17" max="17" width="18.28515625" style="43" customWidth="1"/>
    <col min="18" max="18" width="42.5703125" style="69" customWidth="1"/>
    <col min="19" max="16384" width="8.85546875" style="39"/>
  </cols>
  <sheetData>
    <row r="1" spans="1:18" ht="18.75" x14ac:dyDescent="0.25">
      <c r="A1" s="50" t="s">
        <v>584</v>
      </c>
      <c r="B1" s="50"/>
      <c r="C1" s="191"/>
      <c r="D1" s="191"/>
      <c r="E1" s="50"/>
      <c r="F1" s="50"/>
      <c r="G1" s="13"/>
      <c r="H1" s="50"/>
      <c r="I1" s="70">
        <f>I118</f>
        <v>0</v>
      </c>
      <c r="J1" s="70">
        <f t="shared" ref="J1:L1" si="0">J118</f>
        <v>0</v>
      </c>
      <c r="K1" s="70">
        <f t="shared" si="0"/>
        <v>0</v>
      </c>
      <c r="L1" s="70">
        <f t="shared" si="0"/>
        <v>0</v>
      </c>
      <c r="M1" s="70">
        <f>M118</f>
        <v>0</v>
      </c>
      <c r="N1" s="250">
        <f t="shared" ref="N1:O1" si="1">N118</f>
        <v>0</v>
      </c>
      <c r="O1" s="250">
        <f t="shared" si="1"/>
        <v>0</v>
      </c>
      <c r="P1" s="462">
        <f>NEINVESTICE!S1</f>
        <v>0</v>
      </c>
      <c r="Q1" s="250"/>
    </row>
    <row r="2" spans="1:18" s="54" customFormat="1" ht="39.75" customHeight="1" x14ac:dyDescent="0.25">
      <c r="A2" s="192" t="s">
        <v>1</v>
      </c>
      <c r="B2" s="192" t="s">
        <v>2</v>
      </c>
      <c r="C2" s="192" t="s">
        <v>3</v>
      </c>
      <c r="D2" s="192" t="s">
        <v>4</v>
      </c>
      <c r="E2" s="192" t="s">
        <v>6</v>
      </c>
      <c r="F2" s="192" t="s">
        <v>8</v>
      </c>
      <c r="G2" s="6"/>
      <c r="H2" s="51" t="s">
        <v>181</v>
      </c>
      <c r="I2" s="52" t="s">
        <v>585</v>
      </c>
      <c r="J2" s="52" t="s">
        <v>586</v>
      </c>
      <c r="K2" s="52" t="s">
        <v>3717</v>
      </c>
      <c r="L2" s="52" t="s">
        <v>4357</v>
      </c>
      <c r="M2" s="53" t="s">
        <v>4503</v>
      </c>
      <c r="N2" s="52" t="s">
        <v>4502</v>
      </c>
      <c r="O2" s="52" t="s">
        <v>4696</v>
      </c>
      <c r="P2" s="52" t="s">
        <v>4641</v>
      </c>
      <c r="Q2" s="53" t="s">
        <v>4505</v>
      </c>
      <c r="R2" s="51" t="s">
        <v>4504</v>
      </c>
    </row>
    <row r="3" spans="1:18" s="59" customFormat="1" ht="18.600000000000001" customHeight="1" outlineLevel="2" x14ac:dyDescent="0.25">
      <c r="A3" s="157" t="s">
        <v>4361</v>
      </c>
      <c r="B3" s="391" t="s">
        <v>4362</v>
      </c>
      <c r="C3" s="157">
        <v>2040</v>
      </c>
      <c r="D3" s="256">
        <v>0</v>
      </c>
      <c r="E3" s="157">
        <v>0</v>
      </c>
      <c r="F3" s="157">
        <v>0</v>
      </c>
      <c r="G3" s="14" t="str">
        <f>CONCATENATE(A3,"/",B3,"/",C3,"/",D3,"/",E3,"/",F3)</f>
        <v>33xx/6xxx/2040/0/0/0</v>
      </c>
      <c r="H3" s="14" t="s">
        <v>4769</v>
      </c>
      <c r="I3" s="72">
        <v>3347467.67</v>
      </c>
      <c r="J3" s="73">
        <f>25815213.1+71679</f>
        <v>25886892.100000001</v>
      </c>
      <c r="K3" s="72">
        <f>27901255+10018089.26</f>
        <v>37919344.259999998</v>
      </c>
      <c r="L3" s="73">
        <v>64643273.829999998</v>
      </c>
      <c r="M3" s="73">
        <v>73854082.120000005</v>
      </c>
      <c r="N3" s="240">
        <v>0</v>
      </c>
      <c r="O3" s="240">
        <v>1184000</v>
      </c>
      <c r="P3" s="240"/>
      <c r="Q3" s="165"/>
      <c r="R3" s="71"/>
    </row>
    <row r="4" spans="1:18" s="66" customFormat="1" ht="30" customHeight="1" outlineLevel="1" x14ac:dyDescent="0.25">
      <c r="A4" s="504"/>
      <c r="B4" s="504"/>
      <c r="C4" s="505" t="s">
        <v>4659</v>
      </c>
      <c r="D4" s="504"/>
      <c r="E4" s="504"/>
      <c r="F4" s="504">
        <v>2040</v>
      </c>
      <c r="G4" s="14"/>
      <c r="H4" s="506" t="str">
        <f>VLOOKUP(F4,orJ_správce_telefon_mail!A:B,2,0)</f>
        <v>Odbor cestovního ruchu, školství a kultury - Oddělení školství a kultury - D. Ostřanská</v>
      </c>
      <c r="I4" s="509">
        <f t="shared" ref="I4:Q4" si="2">SUBTOTAL(9,I3:I3)</f>
        <v>3347467.67</v>
      </c>
      <c r="J4" s="509">
        <f t="shared" si="2"/>
        <v>25886892.100000001</v>
      </c>
      <c r="K4" s="510">
        <f t="shared" si="2"/>
        <v>37919344.259999998</v>
      </c>
      <c r="L4" s="509">
        <f t="shared" si="2"/>
        <v>64643273.829999998</v>
      </c>
      <c r="M4" s="509">
        <f t="shared" si="2"/>
        <v>73854082.120000005</v>
      </c>
      <c r="N4" s="511">
        <f t="shared" si="2"/>
        <v>0</v>
      </c>
      <c r="O4" s="511">
        <f t="shared" si="2"/>
        <v>1184000</v>
      </c>
      <c r="P4" s="511">
        <f t="shared" si="2"/>
        <v>0</v>
      </c>
      <c r="Q4" s="512">
        <f t="shared" si="2"/>
        <v>0</v>
      </c>
      <c r="R4" s="513"/>
    </row>
    <row r="5" spans="1:18" s="66" customFormat="1" ht="53.25" customHeight="1" outlineLevel="2" x14ac:dyDescent="0.25">
      <c r="A5" s="449">
        <v>3111</v>
      </c>
      <c r="B5" s="449">
        <v>6351</v>
      </c>
      <c r="C5" s="449">
        <v>2047</v>
      </c>
      <c r="D5" s="449">
        <v>52701</v>
      </c>
      <c r="E5" s="449">
        <v>0</v>
      </c>
      <c r="F5" s="449">
        <v>0</v>
      </c>
      <c r="G5" s="14" t="str">
        <f t="shared" ref="G5:G10" si="3">CONCATENATE(A5,"/",B5,"/",C5,"/",D5,"/",E5,"/",F5)</f>
        <v>3111/6351/2047/52701/0/0</v>
      </c>
      <c r="H5" s="447" t="s">
        <v>4811</v>
      </c>
      <c r="I5" s="73"/>
      <c r="J5" s="73"/>
      <c r="K5" s="72"/>
      <c r="L5" s="73"/>
      <c r="M5" s="73"/>
      <c r="N5" s="240"/>
      <c r="O5" s="240"/>
      <c r="P5" s="240">
        <v>1500000</v>
      </c>
      <c r="Q5" s="165"/>
      <c r="R5" s="71" t="s">
        <v>4792</v>
      </c>
    </row>
    <row r="6" spans="1:18" s="180" customFormat="1" ht="105" outlineLevel="2" x14ac:dyDescent="0.25">
      <c r="A6" s="449">
        <v>3111</v>
      </c>
      <c r="B6" s="449">
        <v>6351</v>
      </c>
      <c r="C6" s="449">
        <v>2047</v>
      </c>
      <c r="D6" s="449">
        <v>52702</v>
      </c>
      <c r="E6" s="449">
        <v>0</v>
      </c>
      <c r="F6" s="449">
        <v>0</v>
      </c>
      <c r="G6" s="14" t="str">
        <f t="shared" si="3"/>
        <v>3111/6351/2047/52702/0/0</v>
      </c>
      <c r="H6" s="447" t="s">
        <v>4794</v>
      </c>
      <c r="I6" s="73"/>
      <c r="J6" s="73"/>
      <c r="K6" s="72"/>
      <c r="L6" s="73"/>
      <c r="M6" s="73"/>
      <c r="N6" s="240"/>
      <c r="O6" s="240"/>
      <c r="P6" s="240"/>
      <c r="Q6" s="165">
        <v>1500000</v>
      </c>
      <c r="R6" s="71" t="s">
        <v>4795</v>
      </c>
    </row>
    <row r="7" spans="1:18" s="59" customFormat="1" ht="30" outlineLevel="2" x14ac:dyDescent="0.25">
      <c r="A7" s="449">
        <v>3141</v>
      </c>
      <c r="B7" s="449">
        <v>6351</v>
      </c>
      <c r="C7" s="449">
        <v>2047</v>
      </c>
      <c r="D7" s="449">
        <v>52740</v>
      </c>
      <c r="E7" s="449"/>
      <c r="F7" s="449"/>
      <c r="G7" s="14" t="str">
        <f t="shared" si="3"/>
        <v>3141/6351/2047/52740//</v>
      </c>
      <c r="H7" s="447" t="s">
        <v>4812</v>
      </c>
      <c r="I7" s="73"/>
      <c r="J7" s="73"/>
      <c r="K7" s="72"/>
      <c r="L7" s="73"/>
      <c r="M7" s="73"/>
      <c r="N7" s="240"/>
      <c r="O7" s="240"/>
      <c r="P7" s="240">
        <f>3258000-150000</f>
        <v>3108000</v>
      </c>
      <c r="Q7" s="165"/>
      <c r="R7" s="71" t="s">
        <v>5153</v>
      </c>
    </row>
    <row r="8" spans="1:18" s="59" customFormat="1" outlineLevel="2" x14ac:dyDescent="0.25">
      <c r="A8" s="157" t="s">
        <v>3838</v>
      </c>
      <c r="B8" s="391" t="s">
        <v>4362</v>
      </c>
      <c r="C8" s="193">
        <v>2047</v>
      </c>
      <c r="D8" s="256">
        <v>0</v>
      </c>
      <c r="E8" s="157">
        <v>0</v>
      </c>
      <c r="F8" s="157">
        <v>0</v>
      </c>
      <c r="G8" s="14" t="str">
        <f t="shared" si="3"/>
        <v>31xx/6xxx/2047/0/0/0</v>
      </c>
      <c r="H8" s="58" t="s">
        <v>4394</v>
      </c>
      <c r="I8" s="74">
        <v>2039475.16</v>
      </c>
      <c r="J8" s="74">
        <v>7911546.7699999996</v>
      </c>
      <c r="K8" s="72">
        <f>4683406.08+4000000</f>
        <v>8683406.0800000001</v>
      </c>
      <c r="L8" s="73">
        <v>6030003.21</v>
      </c>
      <c r="M8" s="73">
        <v>4780595.57</v>
      </c>
      <c r="N8" s="240">
        <v>0</v>
      </c>
      <c r="O8" s="240">
        <v>600000</v>
      </c>
      <c r="P8" s="240"/>
      <c r="Q8" s="17"/>
      <c r="R8" s="57"/>
    </row>
    <row r="9" spans="1:18" s="59" customFormat="1" ht="30" outlineLevel="2" x14ac:dyDescent="0.25">
      <c r="A9" s="193">
        <v>3113</v>
      </c>
      <c r="B9" s="193">
        <v>6351</v>
      </c>
      <c r="C9" s="194">
        <v>2047</v>
      </c>
      <c r="D9" s="193">
        <v>52720</v>
      </c>
      <c r="E9" s="193">
        <v>0</v>
      </c>
      <c r="F9" s="193">
        <v>0</v>
      </c>
      <c r="G9" s="14" t="str">
        <f t="shared" si="3"/>
        <v>3113/6351/2047/52720/0/0</v>
      </c>
      <c r="H9" s="18" t="s">
        <v>4451</v>
      </c>
      <c r="I9" s="56"/>
      <c r="J9" s="179"/>
      <c r="K9" s="56"/>
      <c r="L9" s="179"/>
      <c r="M9" s="73">
        <v>414694</v>
      </c>
      <c r="N9" s="241">
        <v>2599000</v>
      </c>
      <c r="O9" s="241">
        <v>2599000</v>
      </c>
      <c r="P9" s="241">
        <v>632000</v>
      </c>
      <c r="Q9" s="165">
        <f>10500000-10000000</f>
        <v>500000</v>
      </c>
      <c r="R9" s="71" t="s">
        <v>5152</v>
      </c>
    </row>
    <row r="10" spans="1:18" s="59" customFormat="1" outlineLevel="2" x14ac:dyDescent="0.25">
      <c r="A10" s="193">
        <v>3113</v>
      </c>
      <c r="B10" s="193">
        <v>6451</v>
      </c>
      <c r="C10" s="194">
        <v>2047</v>
      </c>
      <c r="D10" s="193">
        <v>52720</v>
      </c>
      <c r="E10" s="193">
        <v>0</v>
      </c>
      <c r="F10" s="193">
        <v>0</v>
      </c>
      <c r="G10" s="14" t="str">
        <f t="shared" si="3"/>
        <v>3113/6451/2047/52720/0/0</v>
      </c>
      <c r="H10" s="18" t="s">
        <v>4452</v>
      </c>
      <c r="I10" s="56"/>
      <c r="J10" s="179"/>
      <c r="K10" s="56"/>
      <c r="L10" s="179"/>
      <c r="M10" s="73"/>
      <c r="N10" s="241">
        <v>12000000</v>
      </c>
      <c r="O10" s="241">
        <v>12000000</v>
      </c>
      <c r="P10" s="241">
        <v>2000000</v>
      </c>
      <c r="Q10" s="165"/>
      <c r="R10" s="71"/>
    </row>
    <row r="11" spans="1:18" s="59" customFormat="1" ht="30" outlineLevel="1" x14ac:dyDescent="0.25">
      <c r="A11" s="491"/>
      <c r="B11" s="491"/>
      <c r="C11" s="508" t="s">
        <v>4661</v>
      </c>
      <c r="D11" s="491"/>
      <c r="E11" s="491"/>
      <c r="F11" s="491">
        <v>2047</v>
      </c>
      <c r="G11" s="14"/>
      <c r="H11" s="506" t="str">
        <f>VLOOKUP(F11,orJ_správce_telefon_mail!A:B,2,0)</f>
        <v>Odbor cestovního ruchu, školství a kultury - Oddělení školství a kultury - Bc. Francová Lucie</v>
      </c>
      <c r="I11" s="510">
        <f t="shared" ref="I11:Q11" si="4">SUBTOTAL(9,I5:I10)</f>
        <v>2039475.16</v>
      </c>
      <c r="J11" s="509">
        <f t="shared" si="4"/>
        <v>7911546.7699999996</v>
      </c>
      <c r="K11" s="510">
        <f t="shared" si="4"/>
        <v>8683406.0800000001</v>
      </c>
      <c r="L11" s="509">
        <f t="shared" si="4"/>
        <v>6030003.21</v>
      </c>
      <c r="M11" s="509">
        <f t="shared" si="4"/>
        <v>5195289.57</v>
      </c>
      <c r="N11" s="511">
        <f t="shared" si="4"/>
        <v>14599000</v>
      </c>
      <c r="O11" s="511">
        <f t="shared" si="4"/>
        <v>15199000</v>
      </c>
      <c r="P11" s="511">
        <f t="shared" si="4"/>
        <v>7240000</v>
      </c>
      <c r="Q11" s="512">
        <f t="shared" si="4"/>
        <v>2000000</v>
      </c>
      <c r="R11" s="513"/>
    </row>
    <row r="12" spans="1:18" s="59" customFormat="1" outlineLevel="2" x14ac:dyDescent="0.25">
      <c r="A12" s="391" t="s">
        <v>4621</v>
      </c>
      <c r="B12" s="391" t="s">
        <v>4362</v>
      </c>
      <c r="C12" s="256">
        <v>2049</v>
      </c>
      <c r="D12" s="256">
        <v>0</v>
      </c>
      <c r="E12" s="256">
        <v>0</v>
      </c>
      <c r="F12" s="256">
        <v>0</v>
      </c>
      <c r="G12" s="14" t="str">
        <f>CONCATENATE(A12,"/",B12,"/",C12,"/",D12,"/",E12,"/",F12)</f>
        <v>21xxx/6xxx/2049/0/0/0</v>
      </c>
      <c r="H12" s="263" t="s">
        <v>4351</v>
      </c>
      <c r="I12" s="72"/>
      <c r="J12" s="72"/>
      <c r="K12" s="72"/>
      <c r="L12" s="73">
        <v>300000</v>
      </c>
      <c r="M12" s="73"/>
      <c r="N12" s="240">
        <v>0</v>
      </c>
      <c r="O12" s="240"/>
      <c r="P12" s="240"/>
      <c r="Q12" s="165"/>
      <c r="R12" s="71"/>
    </row>
    <row r="13" spans="1:18" s="59" customFormat="1" ht="30" outlineLevel="1" x14ac:dyDescent="0.25">
      <c r="A13" s="502"/>
      <c r="B13" s="502"/>
      <c r="C13" s="503" t="s">
        <v>4662</v>
      </c>
      <c r="D13" s="502"/>
      <c r="E13" s="502"/>
      <c r="F13" s="502">
        <v>2049</v>
      </c>
      <c r="G13" s="14"/>
      <c r="H13" s="506" t="str">
        <f>VLOOKUP(F13,orJ_správce_telefon_mail!A:B,2,0)</f>
        <v>Odbor cestovního ruchu, školství a kultury - vedoucí oddělení cestovního ruchu a vnějších vztahů - Bc. K. Šimonová</v>
      </c>
      <c r="I13" s="510">
        <f t="shared" ref="I13:Q13" si="5">SUBTOTAL(9,I12:I12)</f>
        <v>0</v>
      </c>
      <c r="J13" s="510">
        <f t="shared" si="5"/>
        <v>0</v>
      </c>
      <c r="K13" s="510">
        <f t="shared" si="5"/>
        <v>0</v>
      </c>
      <c r="L13" s="509">
        <f t="shared" si="5"/>
        <v>300000</v>
      </c>
      <c r="M13" s="509">
        <f t="shared" si="5"/>
        <v>0</v>
      </c>
      <c r="N13" s="511">
        <f t="shared" si="5"/>
        <v>0</v>
      </c>
      <c r="O13" s="511">
        <f t="shared" si="5"/>
        <v>0</v>
      </c>
      <c r="P13" s="511">
        <f t="shared" si="5"/>
        <v>0</v>
      </c>
      <c r="Q13" s="512">
        <f t="shared" si="5"/>
        <v>0</v>
      </c>
      <c r="R13" s="513"/>
    </row>
    <row r="14" spans="1:18" s="59" customFormat="1" outlineLevel="2" x14ac:dyDescent="0.25">
      <c r="A14" s="207">
        <v>5512</v>
      </c>
      <c r="B14" s="207">
        <v>6123</v>
      </c>
      <c r="C14" s="207">
        <v>2050</v>
      </c>
      <c r="D14" s="207">
        <v>42064</v>
      </c>
      <c r="E14" s="207">
        <v>99</v>
      </c>
      <c r="F14" s="207">
        <v>0</v>
      </c>
      <c r="G14" s="14" t="str">
        <f t="shared" ref="G14:G21" si="6">CONCATENATE(A14,"/",B14,"/",C14,"/",D14,"/",E14,"/",F14)</f>
        <v>5512/6123/2050/42064/99/0</v>
      </c>
      <c r="H14" s="75" t="s">
        <v>4818</v>
      </c>
      <c r="I14" s="76"/>
      <c r="J14" s="76"/>
      <c r="K14" s="72"/>
      <c r="L14" s="73"/>
      <c r="M14" s="73"/>
      <c r="N14" s="240"/>
      <c r="O14" s="240"/>
      <c r="P14" s="240">
        <v>300000</v>
      </c>
      <c r="Q14" s="165"/>
      <c r="R14" s="75"/>
    </row>
    <row r="15" spans="1:18" s="59" customFormat="1" outlineLevel="2" x14ac:dyDescent="0.25">
      <c r="A15" s="207">
        <v>5512</v>
      </c>
      <c r="B15" s="207">
        <v>6123</v>
      </c>
      <c r="C15" s="207">
        <v>2050</v>
      </c>
      <c r="D15" s="207">
        <v>42048</v>
      </c>
      <c r="E15" s="207">
        <v>99</v>
      </c>
      <c r="F15" s="207">
        <v>0</v>
      </c>
      <c r="G15" s="14" t="str">
        <f t="shared" si="6"/>
        <v>5512/6123/2050/42048/99/0</v>
      </c>
      <c r="H15" s="75" t="s">
        <v>4815</v>
      </c>
      <c r="I15" s="76"/>
      <c r="J15" s="76"/>
      <c r="K15" s="72"/>
      <c r="L15" s="73"/>
      <c r="M15" s="73"/>
      <c r="N15" s="240"/>
      <c r="O15" s="240"/>
      <c r="P15" s="240">
        <v>300000</v>
      </c>
      <c r="Q15" s="165"/>
      <c r="R15" s="75"/>
    </row>
    <row r="16" spans="1:18" s="59" customFormat="1" outlineLevel="2" x14ac:dyDescent="0.25">
      <c r="A16" s="207">
        <v>5512</v>
      </c>
      <c r="B16" s="207">
        <v>6123</v>
      </c>
      <c r="C16" s="207">
        <v>2050</v>
      </c>
      <c r="D16" s="207">
        <v>42064</v>
      </c>
      <c r="E16" s="207">
        <v>14502</v>
      </c>
      <c r="F16" s="207">
        <v>0</v>
      </c>
      <c r="G16" s="14" t="str">
        <f t="shared" si="6"/>
        <v>5512/6123/2050/42064/14502/0</v>
      </c>
      <c r="H16" s="75" t="s">
        <v>4819</v>
      </c>
      <c r="I16" s="76"/>
      <c r="J16" s="76"/>
      <c r="K16" s="72"/>
      <c r="L16" s="73"/>
      <c r="M16" s="73"/>
      <c r="N16" s="240"/>
      <c r="O16" s="240"/>
      <c r="P16" s="240">
        <v>450000</v>
      </c>
      <c r="Q16" s="165"/>
      <c r="R16" s="75"/>
    </row>
    <row r="17" spans="1:18" s="59" customFormat="1" outlineLevel="2" x14ac:dyDescent="0.25">
      <c r="A17" s="207">
        <v>5512</v>
      </c>
      <c r="B17" s="207">
        <v>6123</v>
      </c>
      <c r="C17" s="207">
        <v>2050</v>
      </c>
      <c r="D17" s="207">
        <v>42048</v>
      </c>
      <c r="E17" s="207">
        <v>14502</v>
      </c>
      <c r="F17" s="207">
        <v>0</v>
      </c>
      <c r="G17" s="14" t="str">
        <f t="shared" si="6"/>
        <v>5512/6123/2050/42048/14502/0</v>
      </c>
      <c r="H17" s="75" t="s">
        <v>4816</v>
      </c>
      <c r="I17" s="76"/>
      <c r="J17" s="76"/>
      <c r="K17" s="72"/>
      <c r="L17" s="73"/>
      <c r="M17" s="73"/>
      <c r="N17" s="240"/>
      <c r="O17" s="240"/>
      <c r="P17" s="240">
        <v>450000</v>
      </c>
      <c r="Q17" s="165"/>
      <c r="R17" s="75"/>
    </row>
    <row r="18" spans="1:18" s="59" customFormat="1" outlineLevel="2" x14ac:dyDescent="0.25">
      <c r="A18" s="207">
        <v>5512</v>
      </c>
      <c r="B18" s="207">
        <v>6123</v>
      </c>
      <c r="C18" s="207">
        <v>2050</v>
      </c>
      <c r="D18" s="207">
        <v>42064</v>
      </c>
      <c r="E18" s="207">
        <v>0</v>
      </c>
      <c r="F18" s="207">
        <v>0</v>
      </c>
      <c r="G18" s="14" t="str">
        <f t="shared" si="6"/>
        <v>5512/6123/2050/42064/0/0</v>
      </c>
      <c r="H18" s="75" t="s">
        <v>4817</v>
      </c>
      <c r="I18" s="76"/>
      <c r="J18" s="76"/>
      <c r="K18" s="72"/>
      <c r="L18" s="73"/>
      <c r="M18" s="73"/>
      <c r="N18" s="240"/>
      <c r="O18" s="240"/>
      <c r="P18" s="240">
        <v>815740</v>
      </c>
      <c r="Q18" s="165"/>
      <c r="R18" s="75"/>
    </row>
    <row r="19" spans="1:18" s="59" customFormat="1" outlineLevel="2" x14ac:dyDescent="0.25">
      <c r="A19" s="207">
        <v>5512</v>
      </c>
      <c r="B19" s="207">
        <v>6123</v>
      </c>
      <c r="C19" s="207">
        <v>2050</v>
      </c>
      <c r="D19" s="207">
        <v>42048</v>
      </c>
      <c r="E19" s="207">
        <v>0</v>
      </c>
      <c r="F19" s="207">
        <v>0</v>
      </c>
      <c r="G19" s="14" t="str">
        <f t="shared" si="6"/>
        <v>5512/6123/2050/42048/0/0</v>
      </c>
      <c r="H19" s="75" t="s">
        <v>4814</v>
      </c>
      <c r="I19" s="76"/>
      <c r="J19" s="76"/>
      <c r="K19" s="72"/>
      <c r="L19" s="73"/>
      <c r="M19" s="73"/>
      <c r="N19" s="240"/>
      <c r="O19" s="240"/>
      <c r="P19" s="240">
        <v>815740</v>
      </c>
      <c r="Q19" s="165"/>
      <c r="R19" s="75"/>
    </row>
    <row r="20" spans="1:18" s="59" customFormat="1" outlineLevel="2" x14ac:dyDescent="0.25">
      <c r="A20" s="157" t="s">
        <v>4623</v>
      </c>
      <c r="B20" s="391" t="s">
        <v>4362</v>
      </c>
      <c r="C20" s="193">
        <v>2050</v>
      </c>
      <c r="D20" s="256">
        <v>0</v>
      </c>
      <c r="E20" s="157">
        <v>0</v>
      </c>
      <c r="F20" s="157">
        <v>0</v>
      </c>
      <c r="G20" s="14" t="str">
        <f t="shared" si="6"/>
        <v>55xx/6xxx/2050/0/0/0</v>
      </c>
      <c r="H20" s="14" t="s">
        <v>3850</v>
      </c>
      <c r="I20" s="73"/>
      <c r="J20" s="73">
        <v>59290</v>
      </c>
      <c r="K20" s="72">
        <v>100127.5</v>
      </c>
      <c r="L20" s="73">
        <v>55059.5</v>
      </c>
      <c r="M20" s="73"/>
      <c r="N20" s="240">
        <v>3131480</v>
      </c>
      <c r="O20" s="240">
        <v>3201480</v>
      </c>
      <c r="P20" s="240"/>
      <c r="Q20" s="165"/>
      <c r="R20" s="71"/>
    </row>
    <row r="21" spans="1:18" s="59" customFormat="1" outlineLevel="2" x14ac:dyDescent="0.25">
      <c r="A21" s="187" t="s">
        <v>4622</v>
      </c>
      <c r="B21" s="391" t="s">
        <v>4362</v>
      </c>
      <c r="C21" s="194">
        <v>2050</v>
      </c>
      <c r="D21" s="256">
        <v>0</v>
      </c>
      <c r="E21" s="187">
        <v>0</v>
      </c>
      <c r="F21" s="187">
        <v>0</v>
      </c>
      <c r="G21" s="14" t="str">
        <f t="shared" si="6"/>
        <v>52xx/6xxx/2050/0/0/0</v>
      </c>
      <c r="H21" s="21" t="s">
        <v>3851</v>
      </c>
      <c r="I21" s="73"/>
      <c r="J21" s="73">
        <v>81667</v>
      </c>
      <c r="K21" s="179">
        <v>217921</v>
      </c>
      <c r="L21" s="73">
        <v>115375</v>
      </c>
      <c r="M21" s="73">
        <v>16948187</v>
      </c>
      <c r="N21" s="240">
        <v>0</v>
      </c>
      <c r="O21" s="240"/>
      <c r="P21" s="240"/>
      <c r="Q21" s="165"/>
      <c r="R21" s="71"/>
    </row>
    <row r="22" spans="1:18" s="59" customFormat="1" outlineLevel="1" x14ac:dyDescent="0.25">
      <c r="A22" s="492"/>
      <c r="B22" s="502"/>
      <c r="C22" s="508" t="s">
        <v>4663</v>
      </c>
      <c r="D22" s="502"/>
      <c r="E22" s="492"/>
      <c r="F22" s="492">
        <v>2050</v>
      </c>
      <c r="G22" s="14"/>
      <c r="H22" s="506" t="str">
        <f>VLOOKUP(F22,orJ_správce_telefon_mail!A:B,2,0)</f>
        <v>Oddělení personální a krizového řízení - Mgr. Hotovcová</v>
      </c>
      <c r="I22" s="509">
        <f t="shared" ref="I22:Q22" si="7">SUBTOTAL(9,I14:I21)</f>
        <v>0</v>
      </c>
      <c r="J22" s="509">
        <f t="shared" si="7"/>
        <v>140957</v>
      </c>
      <c r="K22" s="509">
        <f t="shared" si="7"/>
        <v>318048.5</v>
      </c>
      <c r="L22" s="509">
        <f t="shared" si="7"/>
        <v>170434.5</v>
      </c>
      <c r="M22" s="509">
        <f t="shared" si="7"/>
        <v>16948187</v>
      </c>
      <c r="N22" s="511">
        <f t="shared" si="7"/>
        <v>3131480</v>
      </c>
      <c r="O22" s="511">
        <f t="shared" si="7"/>
        <v>3201480</v>
      </c>
      <c r="P22" s="511">
        <f t="shared" si="7"/>
        <v>3131480</v>
      </c>
      <c r="Q22" s="512">
        <f t="shared" si="7"/>
        <v>0</v>
      </c>
      <c r="R22" s="513"/>
    </row>
    <row r="23" spans="1:18" s="59" customFormat="1" outlineLevel="2" x14ac:dyDescent="0.25">
      <c r="A23" s="157" t="s">
        <v>4624</v>
      </c>
      <c r="B23" s="391" t="s">
        <v>4362</v>
      </c>
      <c r="C23" s="193">
        <v>2055</v>
      </c>
      <c r="D23" s="256">
        <v>0</v>
      </c>
      <c r="E23" s="157">
        <v>0</v>
      </c>
      <c r="F23" s="157">
        <v>0</v>
      </c>
      <c r="G23" s="14" t="str">
        <f>CONCATENATE(A23,"/",B23,"/",C23,"/",D23,"/",E23,"/",F23)</f>
        <v>61xx/6xxx/2055/0/0/0</v>
      </c>
      <c r="H23" s="71" t="s">
        <v>4395</v>
      </c>
      <c r="I23" s="72">
        <v>4555326</v>
      </c>
      <c r="J23" s="72">
        <v>1572996.4</v>
      </c>
      <c r="K23" s="72">
        <v>367817.62</v>
      </c>
      <c r="L23" s="73">
        <v>257246</v>
      </c>
      <c r="M23" s="73">
        <v>433842</v>
      </c>
      <c r="N23" s="240">
        <v>0</v>
      </c>
      <c r="O23" s="240">
        <v>250954</v>
      </c>
      <c r="P23" s="240">
        <v>4200000</v>
      </c>
      <c r="Q23" s="165"/>
      <c r="R23" s="71" t="s">
        <v>4820</v>
      </c>
    </row>
    <row r="24" spans="1:18" s="59" customFormat="1" outlineLevel="1" x14ac:dyDescent="0.25">
      <c r="A24" s="491"/>
      <c r="B24" s="502"/>
      <c r="C24" s="499" t="s">
        <v>4664</v>
      </c>
      <c r="D24" s="502"/>
      <c r="E24" s="491"/>
      <c r="F24" s="491">
        <v>2055</v>
      </c>
      <c r="G24" s="14"/>
      <c r="H24" s="506" t="str">
        <f>VLOOKUP(F24,orJ_správce_telefon_mail!A:B,2,0)</f>
        <v>Oddělení informatiky - Ing. Čermák</v>
      </c>
      <c r="I24" s="510">
        <f t="shared" ref="I24:Q24" si="8">SUBTOTAL(9,I23:I23)</f>
        <v>4555326</v>
      </c>
      <c r="J24" s="510">
        <f t="shared" si="8"/>
        <v>1572996.4</v>
      </c>
      <c r="K24" s="510">
        <f t="shared" si="8"/>
        <v>367817.62</v>
      </c>
      <c r="L24" s="509">
        <f t="shared" si="8"/>
        <v>257246</v>
      </c>
      <c r="M24" s="509">
        <f t="shared" si="8"/>
        <v>433842</v>
      </c>
      <c r="N24" s="511">
        <f t="shared" si="8"/>
        <v>0</v>
      </c>
      <c r="O24" s="511">
        <f t="shared" si="8"/>
        <v>250954</v>
      </c>
      <c r="P24" s="511">
        <f t="shared" si="8"/>
        <v>4200000</v>
      </c>
      <c r="Q24" s="512">
        <f t="shared" si="8"/>
        <v>0</v>
      </c>
      <c r="R24" s="513"/>
    </row>
    <row r="25" spans="1:18" s="59" customFormat="1" outlineLevel="2" x14ac:dyDescent="0.25">
      <c r="A25" s="157">
        <v>6171</v>
      </c>
      <c r="B25" s="391">
        <v>6123</v>
      </c>
      <c r="C25" s="193">
        <v>2059</v>
      </c>
      <c r="D25" s="256">
        <v>0</v>
      </c>
      <c r="E25" s="157">
        <v>0</v>
      </c>
      <c r="F25" s="157">
        <v>0</v>
      </c>
      <c r="G25" s="14" t="str">
        <f>CONCATENATE(A25,"/",B25,"/",C25,"/",D25,"/",E25,"/",F25)</f>
        <v>6171/6123/2059/0/0/0</v>
      </c>
      <c r="H25" s="71" t="s">
        <v>3735</v>
      </c>
      <c r="I25" s="73"/>
      <c r="J25" s="73">
        <f>92419.8+326905.83</f>
        <v>419325.63</v>
      </c>
      <c r="K25" s="72">
        <v>43789.9</v>
      </c>
      <c r="L25" s="73">
        <v>680600</v>
      </c>
      <c r="M25" s="73">
        <v>130989</v>
      </c>
      <c r="N25" s="240">
        <v>0</v>
      </c>
      <c r="O25" s="240">
        <v>2291447.1</v>
      </c>
      <c r="P25" s="240">
        <v>800000</v>
      </c>
      <c r="Q25" s="165"/>
      <c r="R25" s="71" t="s">
        <v>5035</v>
      </c>
    </row>
    <row r="26" spans="1:18" s="59" customFormat="1" outlineLevel="1" x14ac:dyDescent="0.25">
      <c r="A26" s="491"/>
      <c r="B26" s="502"/>
      <c r="C26" s="499" t="s">
        <v>4665</v>
      </c>
      <c r="D26" s="502"/>
      <c r="E26" s="491"/>
      <c r="F26" s="491">
        <v>2059</v>
      </c>
      <c r="G26" s="14"/>
      <c r="H26" s="506" t="str">
        <f>VLOOKUP(F26,orJ_správce_telefon_mail!A:B,2,0)</f>
        <v>Oddělení vnitřní správy - Bc. Helena Zavřelová</v>
      </c>
      <c r="I26" s="509">
        <f t="shared" ref="I26:Q26" si="9">SUBTOTAL(9,I25:I25)</f>
        <v>0</v>
      </c>
      <c r="J26" s="509">
        <f t="shared" si="9"/>
        <v>419325.63</v>
      </c>
      <c r="K26" s="510">
        <f t="shared" si="9"/>
        <v>43789.9</v>
      </c>
      <c r="L26" s="509">
        <f t="shared" si="9"/>
        <v>680600</v>
      </c>
      <c r="M26" s="509">
        <f t="shared" si="9"/>
        <v>130989</v>
      </c>
      <c r="N26" s="511">
        <f t="shared" si="9"/>
        <v>0</v>
      </c>
      <c r="O26" s="511">
        <f t="shared" si="9"/>
        <v>2291447.1</v>
      </c>
      <c r="P26" s="511">
        <f t="shared" si="9"/>
        <v>800000</v>
      </c>
      <c r="Q26" s="512">
        <f t="shared" si="9"/>
        <v>0</v>
      </c>
      <c r="R26" s="513"/>
    </row>
    <row r="27" spans="1:18" s="59" customFormat="1" ht="45" outlineLevel="2" x14ac:dyDescent="0.25">
      <c r="A27" s="157">
        <v>3412</v>
      </c>
      <c r="B27" s="391">
        <v>6121</v>
      </c>
      <c r="C27" s="193">
        <v>2080</v>
      </c>
      <c r="D27" s="256">
        <v>16424</v>
      </c>
      <c r="E27" s="157">
        <v>0</v>
      </c>
      <c r="F27" s="157">
        <v>0</v>
      </c>
      <c r="G27" s="14" t="str">
        <f t="shared" ref="G27:G45" si="10">CONCATENATE(A27,"/",B27,"/",C27,"/",D27,"/",E27,"/",F27)</f>
        <v>3412/6121/2080/16424/0/0</v>
      </c>
      <c r="H27" s="71" t="s">
        <v>119</v>
      </c>
      <c r="I27" s="73"/>
      <c r="J27" s="73"/>
      <c r="K27" s="72"/>
      <c r="L27" s="73"/>
      <c r="M27" s="73"/>
      <c r="N27" s="240"/>
      <c r="O27" s="240">
        <v>242000</v>
      </c>
      <c r="P27" s="240"/>
      <c r="Q27" s="165">
        <v>6000000</v>
      </c>
      <c r="R27" s="20" t="s">
        <v>5022</v>
      </c>
    </row>
    <row r="28" spans="1:18" s="59" customFormat="1" outlineLevel="2" x14ac:dyDescent="0.25">
      <c r="A28" s="157">
        <v>3412</v>
      </c>
      <c r="B28" s="391">
        <v>6121</v>
      </c>
      <c r="C28" s="193">
        <v>2080</v>
      </c>
      <c r="D28" s="256">
        <v>16521</v>
      </c>
      <c r="E28" s="157">
        <v>0</v>
      </c>
      <c r="F28" s="157">
        <v>0</v>
      </c>
      <c r="G28" s="14" t="str">
        <f t="shared" si="10"/>
        <v>3412/6121/2080/16521/0/0</v>
      </c>
      <c r="H28" s="71" t="s">
        <v>5023</v>
      </c>
      <c r="I28" s="73"/>
      <c r="J28" s="73"/>
      <c r="K28" s="72"/>
      <c r="L28" s="73"/>
      <c r="M28" s="73"/>
      <c r="N28" s="240"/>
      <c r="O28" s="240"/>
      <c r="P28" s="240">
        <v>6000000</v>
      </c>
      <c r="Q28" s="165"/>
      <c r="R28" s="20" t="s">
        <v>5024</v>
      </c>
    </row>
    <row r="29" spans="1:18" s="59" customFormat="1" ht="45" outlineLevel="2" x14ac:dyDescent="0.25">
      <c r="A29" s="265">
        <v>3412</v>
      </c>
      <c r="B29" s="265">
        <v>6121</v>
      </c>
      <c r="C29" s="265">
        <v>2080</v>
      </c>
      <c r="D29" s="265">
        <v>16434</v>
      </c>
      <c r="E29" s="265">
        <v>0</v>
      </c>
      <c r="F29" s="265">
        <v>0</v>
      </c>
      <c r="G29" s="14" t="str">
        <f t="shared" si="10"/>
        <v>3412/6121/2080/16434/0/0</v>
      </c>
      <c r="H29" s="338" t="s">
        <v>5025</v>
      </c>
      <c r="I29" s="265"/>
      <c r="J29" s="73"/>
      <c r="K29" s="72"/>
      <c r="L29" s="73"/>
      <c r="M29" s="73"/>
      <c r="N29" s="240"/>
      <c r="O29" s="240"/>
      <c r="P29" s="240">
        <v>2000000</v>
      </c>
      <c r="Q29" s="165"/>
      <c r="R29" s="57" t="s">
        <v>5144</v>
      </c>
    </row>
    <row r="30" spans="1:18" s="59" customFormat="1" outlineLevel="2" x14ac:dyDescent="0.25">
      <c r="A30" s="157">
        <v>3111</v>
      </c>
      <c r="B30" s="391">
        <v>6121</v>
      </c>
      <c r="C30" s="193">
        <v>2080</v>
      </c>
      <c r="D30" s="256">
        <v>11025</v>
      </c>
      <c r="E30" s="157">
        <v>0</v>
      </c>
      <c r="F30" s="157">
        <v>0</v>
      </c>
      <c r="G30" s="14" t="str">
        <f t="shared" si="10"/>
        <v>3111/6121/2080/11025/0/0</v>
      </c>
      <c r="H30" s="71" t="s">
        <v>4702</v>
      </c>
      <c r="I30" s="73"/>
      <c r="J30" s="73"/>
      <c r="K30" s="72"/>
      <c r="L30" s="73"/>
      <c r="M30" s="73"/>
      <c r="N30" s="240"/>
      <c r="O30" s="240">
        <v>2000000</v>
      </c>
      <c r="P30" s="240"/>
      <c r="Q30" s="165">
        <v>2000000</v>
      </c>
      <c r="R30" s="71" t="s">
        <v>5027</v>
      </c>
    </row>
    <row r="31" spans="1:18" s="59" customFormat="1" ht="30" outlineLevel="2" x14ac:dyDescent="0.25">
      <c r="A31" s="157">
        <v>3613</v>
      </c>
      <c r="B31" s="391">
        <v>6121</v>
      </c>
      <c r="C31" s="193">
        <v>2080</v>
      </c>
      <c r="D31" s="256">
        <v>42064</v>
      </c>
      <c r="E31" s="157">
        <v>0</v>
      </c>
      <c r="F31" s="157">
        <v>0</v>
      </c>
      <c r="G31" s="14" t="str">
        <f t="shared" si="10"/>
        <v>3613/6121/2080/42064/0/0</v>
      </c>
      <c r="H31" s="71" t="s">
        <v>5046</v>
      </c>
      <c r="I31" s="73"/>
      <c r="J31" s="73"/>
      <c r="K31" s="72"/>
      <c r="L31" s="73"/>
      <c r="M31" s="73"/>
      <c r="N31" s="240"/>
      <c r="O31" s="240"/>
      <c r="P31" s="240">
        <v>2377800</v>
      </c>
      <c r="Q31" s="165"/>
      <c r="R31" s="71" t="s">
        <v>4898</v>
      </c>
    </row>
    <row r="32" spans="1:18" s="59" customFormat="1" ht="45" outlineLevel="2" x14ac:dyDescent="0.25">
      <c r="A32" s="157">
        <v>3613</v>
      </c>
      <c r="B32" s="391">
        <v>6121</v>
      </c>
      <c r="C32" s="193">
        <v>2080</v>
      </c>
      <c r="D32" s="256">
        <v>42048</v>
      </c>
      <c r="E32" s="157">
        <v>0</v>
      </c>
      <c r="F32" s="157">
        <v>0</v>
      </c>
      <c r="G32" s="14" t="str">
        <f t="shared" si="10"/>
        <v>3613/6121/2080/42048/0/0</v>
      </c>
      <c r="H32" s="71" t="s">
        <v>4902</v>
      </c>
      <c r="I32" s="73"/>
      <c r="J32" s="73"/>
      <c r="K32" s="72"/>
      <c r="L32" s="73"/>
      <c r="M32" s="73"/>
      <c r="N32" s="240"/>
      <c r="O32" s="240"/>
      <c r="P32" s="240"/>
      <c r="Q32" s="165">
        <v>4450000</v>
      </c>
      <c r="R32" s="71" t="s">
        <v>4900</v>
      </c>
    </row>
    <row r="33" spans="1:18" s="59" customFormat="1" outlineLevel="2" x14ac:dyDescent="0.25">
      <c r="A33" s="157">
        <v>2219</v>
      </c>
      <c r="B33" s="391">
        <v>6121</v>
      </c>
      <c r="C33" s="193">
        <v>2080</v>
      </c>
      <c r="D33" s="256">
        <v>22009</v>
      </c>
      <c r="E33" s="157">
        <v>0</v>
      </c>
      <c r="F33" s="157">
        <v>0</v>
      </c>
      <c r="G33" s="14" t="str">
        <f t="shared" si="10"/>
        <v>2219/6121/2080/22009/0/0</v>
      </c>
      <c r="H33" s="71" t="s">
        <v>4700</v>
      </c>
      <c r="I33" s="73"/>
      <c r="J33" s="73"/>
      <c r="K33" s="72"/>
      <c r="L33" s="73"/>
      <c r="M33" s="73"/>
      <c r="N33" s="240"/>
      <c r="O33" s="240">
        <v>254100</v>
      </c>
      <c r="P33" s="240">
        <v>229900</v>
      </c>
      <c r="Q33" s="165"/>
      <c r="R33" s="71" t="s">
        <v>4895</v>
      </c>
    </row>
    <row r="34" spans="1:18" s="59" customFormat="1" outlineLevel="2" x14ac:dyDescent="0.25">
      <c r="A34" s="157">
        <v>3111</v>
      </c>
      <c r="B34" s="391">
        <v>6121</v>
      </c>
      <c r="C34" s="193">
        <v>2080</v>
      </c>
      <c r="D34" s="256">
        <v>12013</v>
      </c>
      <c r="E34" s="157">
        <v>0</v>
      </c>
      <c r="F34" s="157">
        <v>0</v>
      </c>
      <c r="G34" s="14" t="str">
        <f t="shared" si="10"/>
        <v>3111/6121/2080/12013/0/0</v>
      </c>
      <c r="H34" s="71" t="s">
        <v>4703</v>
      </c>
      <c r="I34" s="73"/>
      <c r="J34" s="73"/>
      <c r="K34" s="72"/>
      <c r="L34" s="73"/>
      <c r="M34" s="73"/>
      <c r="N34" s="240"/>
      <c r="O34" s="240">
        <v>2000000</v>
      </c>
      <c r="P34" s="240"/>
      <c r="Q34" s="165">
        <v>2000000</v>
      </c>
      <c r="R34" s="71"/>
    </row>
    <row r="35" spans="1:18" s="59" customFormat="1" ht="60" outlineLevel="2" x14ac:dyDescent="0.25">
      <c r="A35" s="157">
        <v>3412</v>
      </c>
      <c r="B35" s="391">
        <v>6121</v>
      </c>
      <c r="C35" s="193">
        <v>2080</v>
      </c>
      <c r="D35" s="256">
        <v>16432</v>
      </c>
      <c r="E35" s="157">
        <v>0</v>
      </c>
      <c r="F35" s="157">
        <v>0</v>
      </c>
      <c r="G35" s="14" t="str">
        <f t="shared" si="10"/>
        <v>3412/6121/2080/16432/0/0</v>
      </c>
      <c r="H35" s="71" t="s">
        <v>5149</v>
      </c>
      <c r="I35" s="73"/>
      <c r="J35" s="73"/>
      <c r="K35" s="72"/>
      <c r="L35" s="73"/>
      <c r="M35" s="73"/>
      <c r="N35" s="240"/>
      <c r="O35" s="240"/>
      <c r="P35" s="240">
        <v>1000000</v>
      </c>
      <c r="Q35" s="165">
        <v>60000000</v>
      </c>
      <c r="R35" s="71" t="s">
        <v>4901</v>
      </c>
    </row>
    <row r="36" spans="1:18" s="59" customFormat="1" outlineLevel="2" x14ac:dyDescent="0.25">
      <c r="A36" s="157">
        <v>2219</v>
      </c>
      <c r="B36" s="391">
        <v>6121</v>
      </c>
      <c r="C36" s="193">
        <v>2080</v>
      </c>
      <c r="D36" s="256">
        <v>23005</v>
      </c>
      <c r="E36" s="157">
        <v>0</v>
      </c>
      <c r="F36" s="157">
        <v>0</v>
      </c>
      <c r="G36" s="14" t="str">
        <f t="shared" si="10"/>
        <v>2219/6121/2080/23005/0/0</v>
      </c>
      <c r="H36" s="71" t="s">
        <v>4701</v>
      </c>
      <c r="I36" s="73"/>
      <c r="J36" s="73"/>
      <c r="K36" s="72"/>
      <c r="L36" s="73"/>
      <c r="M36" s="73"/>
      <c r="N36" s="240"/>
      <c r="O36" s="240">
        <v>398090</v>
      </c>
      <c r="P36" s="240">
        <v>350900</v>
      </c>
      <c r="Q36" s="165"/>
      <c r="R36" s="71" t="s">
        <v>4895</v>
      </c>
    </row>
    <row r="37" spans="1:18" s="59" customFormat="1" outlineLevel="2" x14ac:dyDescent="0.25">
      <c r="A37" s="157">
        <v>2241</v>
      </c>
      <c r="B37" s="391">
        <v>6121</v>
      </c>
      <c r="C37" s="193">
        <v>2080</v>
      </c>
      <c r="D37" s="256">
        <v>0</v>
      </c>
      <c r="E37" s="157">
        <v>0</v>
      </c>
      <c r="F37" s="157">
        <v>0</v>
      </c>
      <c r="G37" s="14" t="str">
        <f t="shared" si="10"/>
        <v>2241/6121/2080/0/0/0</v>
      </c>
      <c r="H37" s="71" t="s">
        <v>4453</v>
      </c>
      <c r="I37" s="73"/>
      <c r="J37" s="73"/>
      <c r="K37" s="72"/>
      <c r="L37" s="73"/>
      <c r="M37" s="73"/>
      <c r="N37" s="240"/>
      <c r="O37" s="240">
        <v>1000000</v>
      </c>
      <c r="P37" s="240">
        <v>1000000</v>
      </c>
      <c r="Q37" s="165"/>
      <c r="R37" s="71" t="s">
        <v>5027</v>
      </c>
    </row>
    <row r="38" spans="1:18" s="59" customFormat="1" ht="45" outlineLevel="2" x14ac:dyDescent="0.25">
      <c r="A38" s="157">
        <v>3743</v>
      </c>
      <c r="B38" s="391">
        <v>6121</v>
      </c>
      <c r="C38" s="193">
        <v>2080</v>
      </c>
      <c r="D38" s="256">
        <v>0</v>
      </c>
      <c r="E38" s="157">
        <v>0</v>
      </c>
      <c r="F38" s="157">
        <v>0</v>
      </c>
      <c r="G38" s="14" t="str">
        <f t="shared" si="10"/>
        <v>3743/6121/2080/0/0/0</v>
      </c>
      <c r="H38" s="71" t="s">
        <v>4906</v>
      </c>
      <c r="I38" s="73"/>
      <c r="J38" s="73"/>
      <c r="K38" s="72"/>
      <c r="L38" s="73"/>
      <c r="M38" s="73"/>
      <c r="N38" s="240"/>
      <c r="O38" s="240"/>
      <c r="P38" s="240"/>
      <c r="Q38" s="165">
        <v>1000000</v>
      </c>
      <c r="R38" s="71" t="s">
        <v>4899</v>
      </c>
    </row>
    <row r="39" spans="1:18" s="59" customFormat="1" outlineLevel="2" x14ac:dyDescent="0.25">
      <c r="A39" s="157">
        <v>4351</v>
      </c>
      <c r="B39" s="391">
        <v>6121</v>
      </c>
      <c r="C39" s="193">
        <v>2080</v>
      </c>
      <c r="D39" s="256">
        <v>12019</v>
      </c>
      <c r="E39" s="157">
        <v>0</v>
      </c>
      <c r="F39" s="157">
        <v>0</v>
      </c>
      <c r="G39" s="14" t="str">
        <f t="shared" si="10"/>
        <v>4351/6121/2080/12019/0/0</v>
      </c>
      <c r="H39" s="71" t="s">
        <v>5047</v>
      </c>
      <c r="I39" s="73"/>
      <c r="J39" s="73"/>
      <c r="K39" s="72"/>
      <c r="L39" s="73"/>
      <c r="M39" s="73"/>
      <c r="N39" s="240"/>
      <c r="O39" s="240">
        <v>735680</v>
      </c>
      <c r="P39" s="240">
        <v>350900</v>
      </c>
      <c r="Q39" s="165"/>
      <c r="R39" s="71" t="s">
        <v>4895</v>
      </c>
    </row>
    <row r="40" spans="1:18" s="59" customFormat="1" outlineLevel="2" x14ac:dyDescent="0.25">
      <c r="A40" s="157">
        <v>3900</v>
      </c>
      <c r="B40" s="391">
        <v>6901</v>
      </c>
      <c r="C40" s="193">
        <v>2080</v>
      </c>
      <c r="D40" s="256">
        <v>0</v>
      </c>
      <c r="E40" s="157">
        <v>0</v>
      </c>
      <c r="F40" s="157">
        <v>0</v>
      </c>
      <c r="G40" s="14" t="str">
        <f t="shared" si="10"/>
        <v>3900/6901/2080/0/0/0</v>
      </c>
      <c r="H40" s="71" t="s">
        <v>4707</v>
      </c>
      <c r="I40" s="73"/>
      <c r="J40" s="73"/>
      <c r="K40" s="72"/>
      <c r="L40" s="73"/>
      <c r="M40" s="73"/>
      <c r="N40" s="240"/>
      <c r="O40" s="240">
        <v>3000000</v>
      </c>
      <c r="P40" s="240"/>
      <c r="Q40" s="165"/>
      <c r="R40" s="71"/>
    </row>
    <row r="41" spans="1:18" s="59" customFormat="1" outlineLevel="2" x14ac:dyDescent="0.25">
      <c r="A41" s="157">
        <v>3141</v>
      </c>
      <c r="B41" s="391">
        <v>6121</v>
      </c>
      <c r="C41" s="193">
        <v>2080</v>
      </c>
      <c r="D41" s="256">
        <v>17724</v>
      </c>
      <c r="E41" s="157">
        <v>0</v>
      </c>
      <c r="F41" s="157">
        <v>0</v>
      </c>
      <c r="G41" s="14" t="str">
        <f t="shared" si="10"/>
        <v>3141/6121/2080/17724/0/0</v>
      </c>
      <c r="H41" s="71" t="s">
        <v>5028</v>
      </c>
      <c r="I41" s="73"/>
      <c r="J41" s="73"/>
      <c r="K41" s="72"/>
      <c r="L41" s="73"/>
      <c r="M41" s="73"/>
      <c r="N41" s="240"/>
      <c r="O41" s="240"/>
      <c r="P41" s="240">
        <v>3000000</v>
      </c>
      <c r="Q41" s="165"/>
      <c r="R41" s="20" t="s">
        <v>5030</v>
      </c>
    </row>
    <row r="42" spans="1:18" s="59" customFormat="1" outlineLevel="2" x14ac:dyDescent="0.25">
      <c r="A42" s="157">
        <v>3113</v>
      </c>
      <c r="B42" s="391">
        <v>6121</v>
      </c>
      <c r="C42" s="193">
        <v>2080</v>
      </c>
      <c r="D42" s="256">
        <v>17726</v>
      </c>
      <c r="E42" s="157">
        <v>0</v>
      </c>
      <c r="F42" s="157">
        <v>1</v>
      </c>
      <c r="G42" s="14" t="str">
        <f t="shared" si="10"/>
        <v>3113/6121/2080/17726/0/1</v>
      </c>
      <c r="H42" s="71" t="s">
        <v>5048</v>
      </c>
      <c r="I42" s="73"/>
      <c r="J42" s="73"/>
      <c r="K42" s="72"/>
      <c r="L42" s="73"/>
      <c r="M42" s="73"/>
      <c r="N42" s="240"/>
      <c r="O42" s="240"/>
      <c r="P42" s="240">
        <v>700000</v>
      </c>
      <c r="Q42" s="165"/>
      <c r="R42" s="71"/>
    </row>
    <row r="43" spans="1:18" s="59" customFormat="1" outlineLevel="2" x14ac:dyDescent="0.25">
      <c r="A43" s="157">
        <v>3113</v>
      </c>
      <c r="B43" s="391">
        <v>6121</v>
      </c>
      <c r="C43" s="193">
        <v>2080</v>
      </c>
      <c r="D43" s="256">
        <v>17726</v>
      </c>
      <c r="E43" s="157">
        <v>0</v>
      </c>
      <c r="F43" s="157">
        <v>0</v>
      </c>
      <c r="G43" s="14" t="str">
        <f t="shared" si="10"/>
        <v>3113/6121/2080/17726/0/0</v>
      </c>
      <c r="H43" s="71" t="s">
        <v>4704</v>
      </c>
      <c r="I43" s="73"/>
      <c r="J43" s="73"/>
      <c r="K43" s="72"/>
      <c r="L43" s="73"/>
      <c r="M43" s="73"/>
      <c r="N43" s="240"/>
      <c r="O43" s="240">
        <v>285560</v>
      </c>
      <c r="P43" s="240">
        <v>285560</v>
      </c>
      <c r="Q43" s="165"/>
      <c r="R43" s="71" t="s">
        <v>5027</v>
      </c>
    </row>
    <row r="44" spans="1:18" s="59" customFormat="1" outlineLevel="2" x14ac:dyDescent="0.25">
      <c r="A44" s="157">
        <v>3113</v>
      </c>
      <c r="B44" s="391">
        <v>6121</v>
      </c>
      <c r="C44" s="193">
        <v>2080</v>
      </c>
      <c r="D44" s="256">
        <v>0</v>
      </c>
      <c r="E44" s="157">
        <v>0</v>
      </c>
      <c r="F44" s="157">
        <v>0</v>
      </c>
      <c r="G44" s="14" t="str">
        <f t="shared" si="10"/>
        <v>3113/6121/2080/0/0/0</v>
      </c>
      <c r="H44" s="71" t="s">
        <v>4897</v>
      </c>
      <c r="I44" s="73"/>
      <c r="J44" s="73"/>
      <c r="K44" s="72"/>
      <c r="L44" s="73"/>
      <c r="M44" s="73"/>
      <c r="N44" s="240"/>
      <c r="O44" s="240"/>
      <c r="P44" s="240">
        <v>2500000</v>
      </c>
      <c r="Q44" s="165"/>
      <c r="R44" s="71" t="s">
        <v>4896</v>
      </c>
    </row>
    <row r="45" spans="1:18" s="64" customFormat="1" outlineLevel="2" x14ac:dyDescent="0.25">
      <c r="A45" s="157">
        <v>3113</v>
      </c>
      <c r="B45" s="391">
        <v>6121</v>
      </c>
      <c r="C45" s="193">
        <v>2080</v>
      </c>
      <c r="D45" s="256">
        <v>17723</v>
      </c>
      <c r="E45" s="157">
        <v>0</v>
      </c>
      <c r="F45" s="157">
        <v>0</v>
      </c>
      <c r="G45" s="14" t="str">
        <f t="shared" si="10"/>
        <v>3113/6121/2080/17723/0/0</v>
      </c>
      <c r="H45" s="71" t="s">
        <v>5031</v>
      </c>
      <c r="I45" s="73"/>
      <c r="J45" s="73"/>
      <c r="K45" s="72"/>
      <c r="L45" s="73"/>
      <c r="M45" s="73"/>
      <c r="N45" s="240"/>
      <c r="O45" s="240"/>
      <c r="P45" s="240">
        <v>2000000</v>
      </c>
      <c r="Q45" s="165"/>
      <c r="R45" s="71" t="s">
        <v>5033</v>
      </c>
    </row>
    <row r="46" spans="1:18" s="64" customFormat="1" ht="30" outlineLevel="1" x14ac:dyDescent="0.25">
      <c r="A46" s="491"/>
      <c r="B46" s="502"/>
      <c r="C46" s="499" t="s">
        <v>5011</v>
      </c>
      <c r="D46" s="502"/>
      <c r="E46" s="491"/>
      <c r="F46" s="491">
        <v>2080</v>
      </c>
      <c r="G46" s="14"/>
      <c r="H46" s="506" t="str">
        <f>VLOOKUP(F46,orJ_správce_telefon_mail!A:B,2,0)</f>
        <v xml:space="preserve">Odbor projektového řízení a sportu - Oddělní projektového řízení - Ing. Ovčačík </v>
      </c>
      <c r="I46" s="509">
        <f t="shared" ref="I46:Q46" si="11">SUBTOTAL(9,I27:I45)</f>
        <v>0</v>
      </c>
      <c r="J46" s="509">
        <f t="shared" si="11"/>
        <v>0</v>
      </c>
      <c r="K46" s="510">
        <f t="shared" si="11"/>
        <v>0</v>
      </c>
      <c r="L46" s="509">
        <f t="shared" si="11"/>
        <v>0</v>
      </c>
      <c r="M46" s="509">
        <f t="shared" si="11"/>
        <v>0</v>
      </c>
      <c r="N46" s="511">
        <f t="shared" si="11"/>
        <v>0</v>
      </c>
      <c r="O46" s="511">
        <f t="shared" si="11"/>
        <v>9915430</v>
      </c>
      <c r="P46" s="511">
        <f t="shared" si="11"/>
        <v>21795060</v>
      </c>
      <c r="Q46" s="512">
        <f t="shared" si="11"/>
        <v>75450000</v>
      </c>
      <c r="R46" s="513"/>
    </row>
    <row r="47" spans="1:18" s="64" customFormat="1" ht="30" outlineLevel="2" x14ac:dyDescent="0.25">
      <c r="A47" s="157">
        <v>3412</v>
      </c>
      <c r="B47" s="391">
        <v>6121</v>
      </c>
      <c r="C47" s="193">
        <v>2086</v>
      </c>
      <c r="D47" s="256">
        <v>16421</v>
      </c>
      <c r="E47" s="157">
        <v>0</v>
      </c>
      <c r="F47" s="157">
        <v>0</v>
      </c>
      <c r="G47" s="14" t="str">
        <f t="shared" ref="G47:G54" si="12">CONCATENATE(A47,"/",B47,"/",C47,"/",D47,"/",E47,"/",F47)</f>
        <v>3412/6121/2086/16421/0/0</v>
      </c>
      <c r="H47" s="71" t="s">
        <v>4427</v>
      </c>
      <c r="I47" s="73"/>
      <c r="J47" s="73"/>
      <c r="K47" s="72"/>
      <c r="L47" s="73"/>
      <c r="M47" s="73"/>
      <c r="N47" s="240"/>
      <c r="O47" s="240">
        <v>370000</v>
      </c>
      <c r="P47" s="240">
        <v>750000</v>
      </c>
      <c r="Q47" s="165"/>
      <c r="R47" s="31" t="s">
        <v>4903</v>
      </c>
    </row>
    <row r="48" spans="1:18" s="64" customFormat="1" ht="30" outlineLevel="2" x14ac:dyDescent="0.25">
      <c r="A48" s="157">
        <v>3419</v>
      </c>
      <c r="B48" s="391">
        <v>6901</v>
      </c>
      <c r="C48" s="193">
        <v>2086</v>
      </c>
      <c r="D48" s="256">
        <v>0</v>
      </c>
      <c r="E48" s="157">
        <v>0</v>
      </c>
      <c r="F48" s="157">
        <v>0</v>
      </c>
      <c r="G48" s="14" t="str">
        <f t="shared" si="12"/>
        <v>3419/6901/2086/0/0/0</v>
      </c>
      <c r="H48" s="71" t="s">
        <v>4481</v>
      </c>
      <c r="I48" s="72">
        <v>290000</v>
      </c>
      <c r="J48" s="72">
        <v>2216896.7999999998</v>
      </c>
      <c r="K48" s="72">
        <v>350000</v>
      </c>
      <c r="L48" s="73"/>
      <c r="M48" s="73"/>
      <c r="N48" s="241">
        <v>1800000</v>
      </c>
      <c r="O48" s="240">
        <v>2750000</v>
      </c>
      <c r="P48" s="317">
        <v>2750000</v>
      </c>
      <c r="Q48" s="165"/>
      <c r="R48" s="535" t="s">
        <v>4905</v>
      </c>
    </row>
    <row r="49" spans="1:19" s="64" customFormat="1" outlineLevel="2" x14ac:dyDescent="0.25">
      <c r="A49" s="193">
        <v>3412</v>
      </c>
      <c r="B49" s="193">
        <v>6121</v>
      </c>
      <c r="C49" s="193">
        <v>2086</v>
      </c>
      <c r="D49" s="193">
        <v>16432</v>
      </c>
      <c r="E49" s="157">
        <v>0</v>
      </c>
      <c r="F49" s="157">
        <v>0</v>
      </c>
      <c r="G49" s="14" t="str">
        <f t="shared" si="12"/>
        <v>3412/6121/2086/16432/0/0</v>
      </c>
      <c r="H49" s="321" t="s">
        <v>5034</v>
      </c>
      <c r="I49" s="73"/>
      <c r="J49" s="73"/>
      <c r="K49" s="72"/>
      <c r="L49" s="73"/>
      <c r="M49" s="73"/>
      <c r="N49" s="240"/>
      <c r="O49" s="240"/>
      <c r="P49" s="240">
        <v>240000</v>
      </c>
      <c r="Q49" s="165"/>
      <c r="R49" s="461" t="s">
        <v>4911</v>
      </c>
    </row>
    <row r="50" spans="1:19" s="64" customFormat="1" outlineLevel="2" x14ac:dyDescent="0.25">
      <c r="A50" s="193">
        <v>3421</v>
      </c>
      <c r="B50" s="193">
        <v>6121</v>
      </c>
      <c r="C50" s="193">
        <v>2086</v>
      </c>
      <c r="D50" s="193">
        <v>16015</v>
      </c>
      <c r="E50" s="157">
        <v>0</v>
      </c>
      <c r="F50" s="157">
        <v>0</v>
      </c>
      <c r="G50" s="14" t="str">
        <f t="shared" si="12"/>
        <v>3421/6121/2086/16015/0/0</v>
      </c>
      <c r="H50" s="321" t="s">
        <v>5021</v>
      </c>
      <c r="I50" s="73"/>
      <c r="J50" s="73"/>
      <c r="K50" s="72"/>
      <c r="L50" s="73"/>
      <c r="M50" s="73"/>
      <c r="N50" s="240"/>
      <c r="O50" s="240"/>
      <c r="P50" s="240">
        <v>120000</v>
      </c>
      <c r="Q50" s="165"/>
      <c r="R50" s="461"/>
    </row>
    <row r="51" spans="1:19" s="64" customFormat="1" outlineLevel="2" x14ac:dyDescent="0.25">
      <c r="A51" s="157">
        <v>3412</v>
      </c>
      <c r="B51" s="391">
        <v>6122</v>
      </c>
      <c r="C51" s="193">
        <v>2086</v>
      </c>
      <c r="D51" s="256">
        <v>12022</v>
      </c>
      <c r="E51" s="157">
        <v>0</v>
      </c>
      <c r="F51" s="157">
        <v>0</v>
      </c>
      <c r="G51" s="14" t="str">
        <f t="shared" si="12"/>
        <v>3412/6122/2086/12022/0/0</v>
      </c>
      <c r="H51" s="71" t="s">
        <v>4708</v>
      </c>
      <c r="I51" s="73"/>
      <c r="J51" s="73"/>
      <c r="K51" s="72"/>
      <c r="L51" s="73"/>
      <c r="M51" s="73"/>
      <c r="N51" s="240"/>
      <c r="O51" s="240">
        <v>760352</v>
      </c>
      <c r="P51" s="240">
        <v>760352</v>
      </c>
      <c r="Q51" s="165"/>
      <c r="R51" s="31" t="s">
        <v>4904</v>
      </c>
    </row>
    <row r="52" spans="1:19" s="59" customFormat="1" outlineLevel="2" x14ac:dyDescent="0.25">
      <c r="A52" s="385">
        <v>3412</v>
      </c>
      <c r="B52" s="385">
        <v>6121</v>
      </c>
      <c r="C52" s="383">
        <v>2976</v>
      </c>
      <c r="D52" s="187">
        <v>16421</v>
      </c>
      <c r="E52" s="193">
        <v>0</v>
      </c>
      <c r="F52" s="193">
        <v>0</v>
      </c>
      <c r="G52" s="14" t="str">
        <f>CONCATENATE(A52,"/",B52,"/",C52,"/",D52,"/",E52,"/",F52)</f>
        <v>3412/6121/2976/16421/0/0</v>
      </c>
      <c r="H52" s="55" t="s">
        <v>4427</v>
      </c>
      <c r="I52" s="73"/>
      <c r="J52" s="73"/>
      <c r="K52" s="72"/>
      <c r="L52" s="73"/>
      <c r="M52" s="73"/>
      <c r="N52" s="240">
        <v>250000</v>
      </c>
      <c r="O52" s="240"/>
      <c r="P52" s="240"/>
      <c r="Q52" s="165"/>
      <c r="R52" s="71"/>
      <c r="S52" s="59" t="s">
        <v>188</v>
      </c>
    </row>
    <row r="53" spans="1:19" s="59" customFormat="1" outlineLevel="2" x14ac:dyDescent="0.25">
      <c r="A53" s="384" t="s">
        <v>4616</v>
      </c>
      <c r="B53" s="391" t="s">
        <v>4362</v>
      </c>
      <c r="C53" s="384">
        <v>2976</v>
      </c>
      <c r="D53" s="256">
        <v>0</v>
      </c>
      <c r="E53" s="157">
        <v>0</v>
      </c>
      <c r="F53" s="157">
        <v>0</v>
      </c>
      <c r="G53" s="14" t="str">
        <f>CONCATENATE(A53,"/",B53,"/",C53,"/",D53,"/",E53,"/",F53)</f>
        <v>34xx/6xxx/2976/0/0/0</v>
      </c>
      <c r="H53" s="71" t="s">
        <v>3737</v>
      </c>
      <c r="I53" s="72">
        <f>1548273.39+778504.32</f>
        <v>2326777.71</v>
      </c>
      <c r="J53" s="72">
        <v>2540564.71</v>
      </c>
      <c r="K53" s="72">
        <v>3943371.6899999995</v>
      </c>
      <c r="L53" s="73">
        <f>79798+1490700</f>
        <v>1570498</v>
      </c>
      <c r="M53" s="73">
        <v>994414.36</v>
      </c>
      <c r="N53" s="240"/>
      <c r="O53" s="240"/>
      <c r="P53" s="240"/>
      <c r="Q53" s="165"/>
      <c r="R53" s="71"/>
    </row>
    <row r="54" spans="1:19" s="64" customFormat="1" ht="30" outlineLevel="2" x14ac:dyDescent="0.25">
      <c r="A54" s="157">
        <v>3412</v>
      </c>
      <c r="B54" s="391">
        <v>6121</v>
      </c>
      <c r="C54" s="193">
        <v>2086</v>
      </c>
      <c r="D54" s="256">
        <v>16420</v>
      </c>
      <c r="E54" s="157">
        <v>0</v>
      </c>
      <c r="F54" s="157"/>
      <c r="G54" s="14" t="str">
        <f t="shared" si="12"/>
        <v>3412/6121/2086/16420/0/</v>
      </c>
      <c r="H54" s="71" t="s">
        <v>4912</v>
      </c>
      <c r="I54" s="73"/>
      <c r="J54" s="73"/>
      <c r="K54" s="72"/>
      <c r="L54" s="73"/>
      <c r="M54" s="73"/>
      <c r="N54" s="240"/>
      <c r="O54" s="240"/>
      <c r="P54" s="240">
        <v>370000</v>
      </c>
      <c r="Q54" s="165"/>
      <c r="R54" s="20" t="s">
        <v>4913</v>
      </c>
    </row>
    <row r="55" spans="1:19" s="64" customFormat="1" outlineLevel="1" x14ac:dyDescent="0.25">
      <c r="A55" s="491"/>
      <c r="B55" s="502"/>
      <c r="C55" s="499" t="s">
        <v>4667</v>
      </c>
      <c r="D55" s="502"/>
      <c r="E55" s="491"/>
      <c r="F55" s="491">
        <v>2086</v>
      </c>
      <c r="G55" s="14"/>
      <c r="H55" s="506" t="str">
        <f>VLOOKUP(F55,orJ_správce_telefon_mail!A:B,2,0)</f>
        <v xml:space="preserve">Odbor projektového řízení a sportu - Oddělní sportu - Ing. Ovčačík </v>
      </c>
      <c r="I55" s="509">
        <f t="shared" ref="I55:Q55" si="13">SUBTOTAL(9,I47:I54)</f>
        <v>2616777.71</v>
      </c>
      <c r="J55" s="509">
        <f t="shared" si="13"/>
        <v>4757461.51</v>
      </c>
      <c r="K55" s="510">
        <f t="shared" si="13"/>
        <v>4293371.6899999995</v>
      </c>
      <c r="L55" s="509">
        <f t="shared" si="13"/>
        <v>1570498</v>
      </c>
      <c r="M55" s="509">
        <f t="shared" si="13"/>
        <v>994414.36</v>
      </c>
      <c r="N55" s="511">
        <f t="shared" si="13"/>
        <v>2050000</v>
      </c>
      <c r="O55" s="511">
        <f t="shared" si="13"/>
        <v>3880352</v>
      </c>
      <c r="P55" s="511">
        <f t="shared" si="13"/>
        <v>4990352</v>
      </c>
      <c r="Q55" s="512">
        <f t="shared" si="13"/>
        <v>0</v>
      </c>
      <c r="R55" s="514"/>
    </row>
    <row r="56" spans="1:19" s="64" customFormat="1" outlineLevel="2" x14ac:dyDescent="0.25">
      <c r="A56" s="157">
        <v>5311</v>
      </c>
      <c r="B56" s="157">
        <v>6121</v>
      </c>
      <c r="C56" s="193">
        <v>2100</v>
      </c>
      <c r="D56" s="157">
        <v>0</v>
      </c>
      <c r="E56" s="157">
        <v>0</v>
      </c>
      <c r="F56" s="157">
        <v>0</v>
      </c>
      <c r="G56" s="14" t="str">
        <f>CONCATENATE(A56,"/",B56,"/",C56,"/",D56,"/",E56,"/",F56)</f>
        <v>5311/6121/2100/0/0/0</v>
      </c>
      <c r="H56" s="58" t="s">
        <v>3635</v>
      </c>
      <c r="I56" s="73"/>
      <c r="J56" s="73"/>
      <c r="K56" s="72"/>
      <c r="L56" s="73"/>
      <c r="M56" s="73"/>
      <c r="N56" s="240">
        <v>290000</v>
      </c>
      <c r="O56" s="240">
        <v>290000</v>
      </c>
      <c r="P56" s="240">
        <v>0</v>
      </c>
      <c r="Q56" s="165"/>
      <c r="R56" s="264"/>
    </row>
    <row r="57" spans="1:19" s="64" customFormat="1" outlineLevel="2" x14ac:dyDescent="0.25">
      <c r="A57" s="157">
        <v>5311</v>
      </c>
      <c r="B57" s="157">
        <v>6122</v>
      </c>
      <c r="C57" s="193">
        <v>2100</v>
      </c>
      <c r="D57" s="157">
        <v>0</v>
      </c>
      <c r="E57" s="157">
        <v>0</v>
      </c>
      <c r="F57" s="157">
        <v>0</v>
      </c>
      <c r="G57" s="14" t="str">
        <f>CONCATENATE(A57,"/",B57,"/",C57,"/",D57,"/",E57,"/",F57)</f>
        <v>5311/6122/2100/0/0/0</v>
      </c>
      <c r="H57" s="58" t="s">
        <v>4399</v>
      </c>
      <c r="I57" s="74">
        <v>806765.25</v>
      </c>
      <c r="J57" s="74">
        <v>753907.39</v>
      </c>
      <c r="K57" s="72">
        <v>885656.35000000009</v>
      </c>
      <c r="L57" s="73">
        <v>481381.07000000007</v>
      </c>
      <c r="M57" s="73">
        <v>725326.2</v>
      </c>
      <c r="N57" s="240">
        <f>95740+100000</f>
        <v>195740</v>
      </c>
      <c r="O57" s="240">
        <v>195740</v>
      </c>
      <c r="P57" s="240">
        <v>300000</v>
      </c>
      <c r="Q57" s="165"/>
      <c r="R57" s="262"/>
    </row>
    <row r="58" spans="1:19" s="64" customFormat="1" outlineLevel="1" x14ac:dyDescent="0.25">
      <c r="A58" s="491"/>
      <c r="B58" s="491"/>
      <c r="C58" s="499" t="s">
        <v>4670</v>
      </c>
      <c r="D58" s="491"/>
      <c r="E58" s="491"/>
      <c r="F58" s="491">
        <v>2100</v>
      </c>
      <c r="G58" s="14"/>
      <c r="H58" s="506" t="str">
        <f>VLOOKUP(F58,orJ_správce_telefon_mail!A:B,2,0)</f>
        <v>Městská policie - Mgr., Ing. Mareček, Dis.</v>
      </c>
      <c r="I58" s="515">
        <f t="shared" ref="I58:Q58" si="14">SUBTOTAL(9,I56:I57)</f>
        <v>806765.25</v>
      </c>
      <c r="J58" s="515">
        <f t="shared" si="14"/>
        <v>753907.39</v>
      </c>
      <c r="K58" s="510">
        <f t="shared" si="14"/>
        <v>885656.35000000009</v>
      </c>
      <c r="L58" s="509">
        <f t="shared" si="14"/>
        <v>481381.07000000007</v>
      </c>
      <c r="M58" s="509">
        <f t="shared" si="14"/>
        <v>725326.2</v>
      </c>
      <c r="N58" s="511">
        <f t="shared" si="14"/>
        <v>485740</v>
      </c>
      <c r="O58" s="511">
        <f t="shared" si="14"/>
        <v>485740</v>
      </c>
      <c r="P58" s="511">
        <f t="shared" si="14"/>
        <v>300000</v>
      </c>
      <c r="Q58" s="512">
        <f t="shared" si="14"/>
        <v>0</v>
      </c>
      <c r="R58" s="516"/>
    </row>
    <row r="59" spans="1:19" s="64" customFormat="1" ht="34.5" customHeight="1" outlineLevel="2" x14ac:dyDescent="0.25">
      <c r="A59" s="187" t="s">
        <v>4364</v>
      </c>
      <c r="B59" s="391" t="s">
        <v>4362</v>
      </c>
      <c r="C59" s="187">
        <v>2490</v>
      </c>
      <c r="D59" s="256">
        <v>0</v>
      </c>
      <c r="E59" s="187">
        <v>0</v>
      </c>
      <c r="F59" s="187">
        <v>0</v>
      </c>
      <c r="G59" s="14" t="str">
        <f t="shared" ref="G59:G76" si="15">CONCATENATE(A59,"/",B59,"/",C59,"/",D59,"/",E59,"/",F59)</f>
        <v>36xx/6xxx/2490/0/0/0</v>
      </c>
      <c r="H59" s="21" t="s">
        <v>4396</v>
      </c>
      <c r="I59" s="72">
        <v>43424073.870000005</v>
      </c>
      <c r="J59" s="72">
        <v>53581315.120000005</v>
      </c>
      <c r="K59" s="72">
        <f>39768371.17+6683482.23</f>
        <v>46451853.400000006</v>
      </c>
      <c r="L59" s="73">
        <v>745026.76</v>
      </c>
      <c r="M59" s="73">
        <v>1192872.6800000002</v>
      </c>
      <c r="N59" s="240">
        <v>0</v>
      </c>
      <c r="O59" s="240">
        <v>37071602.189999998</v>
      </c>
      <c r="P59" s="240"/>
      <c r="Q59" s="165"/>
      <c r="R59" s="288"/>
    </row>
    <row r="60" spans="1:19" s="64" customFormat="1" ht="34.5" customHeight="1" outlineLevel="2" x14ac:dyDescent="0.25">
      <c r="A60" s="187">
        <v>3613</v>
      </c>
      <c r="B60" s="391">
        <v>6121</v>
      </c>
      <c r="C60" s="187">
        <v>2490</v>
      </c>
      <c r="D60" s="256">
        <v>11630</v>
      </c>
      <c r="E60" s="187">
        <v>0</v>
      </c>
      <c r="F60" s="187">
        <v>0</v>
      </c>
      <c r="G60" s="14" t="str">
        <f t="shared" si="15"/>
        <v>3613/6121/2490/11630/0/0</v>
      </c>
      <c r="H60" s="21" t="s">
        <v>5155</v>
      </c>
      <c r="I60" s="72"/>
      <c r="J60" s="72"/>
      <c r="K60" s="72"/>
      <c r="L60" s="73"/>
      <c r="M60" s="73"/>
      <c r="N60" s="240"/>
      <c r="O60" s="240"/>
      <c r="P60" s="240">
        <v>6000000</v>
      </c>
      <c r="Q60" s="165"/>
      <c r="R60" s="564" t="s">
        <v>5159</v>
      </c>
    </row>
    <row r="61" spans="1:19" s="59" customFormat="1" ht="30" outlineLevel="2" x14ac:dyDescent="0.25">
      <c r="A61" s="157">
        <v>3613</v>
      </c>
      <c r="B61" s="391">
        <v>6121</v>
      </c>
      <c r="C61" s="193">
        <v>2490</v>
      </c>
      <c r="D61" s="256">
        <v>20113</v>
      </c>
      <c r="E61" s="157">
        <v>0</v>
      </c>
      <c r="F61" s="157">
        <v>0</v>
      </c>
      <c r="G61" s="14" t="str">
        <f t="shared" si="15"/>
        <v>3613/6121/2490/20113/0/0</v>
      </c>
      <c r="H61" s="71" t="s">
        <v>4705</v>
      </c>
      <c r="I61" s="73"/>
      <c r="J61" s="73"/>
      <c r="K61" s="72"/>
      <c r="L61" s="73"/>
      <c r="M61" s="73"/>
      <c r="N61" s="240"/>
      <c r="O61" s="240">
        <v>2772360</v>
      </c>
      <c r="P61" s="165">
        <v>2772360</v>
      </c>
      <c r="Q61" s="165"/>
      <c r="R61" s="152" t="s">
        <v>5161</v>
      </c>
    </row>
    <row r="62" spans="1:19" s="64" customFormat="1" ht="135" outlineLevel="2" x14ac:dyDescent="0.25">
      <c r="A62" s="186" t="s">
        <v>4617</v>
      </c>
      <c r="B62" s="391" t="s">
        <v>4362</v>
      </c>
      <c r="C62" s="186">
        <v>2490</v>
      </c>
      <c r="D62" s="186">
        <v>0</v>
      </c>
      <c r="E62" s="186">
        <v>0</v>
      </c>
      <c r="F62" s="186">
        <v>0</v>
      </c>
      <c r="G62" s="14" t="str">
        <f t="shared" si="15"/>
        <v>22xx/6xxx/2490/0/0/0</v>
      </c>
      <c r="H62" s="77" t="s">
        <v>3855</v>
      </c>
      <c r="I62" s="164">
        <v>17531251.869999997</v>
      </c>
      <c r="J62" s="164">
        <v>14317982.5</v>
      </c>
      <c r="K62" s="164">
        <v>11422960.689999999</v>
      </c>
      <c r="L62" s="164">
        <f>28234301.09+9500</f>
        <v>28243801.09</v>
      </c>
      <c r="M62" s="73">
        <f>5147425.07+1165820.21</f>
        <v>6313245.2800000003</v>
      </c>
      <c r="N62" s="240">
        <v>5500000</v>
      </c>
      <c r="O62" s="240">
        <v>17818967.609999999</v>
      </c>
      <c r="P62" s="240">
        <f>8000000+7700000+7900000+1000000+6000000+1000000+1300000+10000000+9000000+5000000</f>
        <v>56900000</v>
      </c>
      <c r="Q62" s="165">
        <v>11000000</v>
      </c>
      <c r="R62" s="152" t="s">
        <v>5162</v>
      </c>
    </row>
    <row r="63" spans="1:19" s="64" customFormat="1" outlineLevel="2" x14ac:dyDescent="0.25">
      <c r="A63" s="157">
        <v>3141</v>
      </c>
      <c r="B63" s="391">
        <v>6121</v>
      </c>
      <c r="C63" s="193">
        <v>2080</v>
      </c>
      <c r="D63" s="256">
        <v>17724</v>
      </c>
      <c r="E63" s="157">
        <v>0</v>
      </c>
      <c r="F63" s="157">
        <v>0</v>
      </c>
      <c r="G63" s="14" t="str">
        <f t="shared" si="15"/>
        <v>3141/6121/2080/17724/0/0</v>
      </c>
      <c r="H63" s="71" t="s">
        <v>5029</v>
      </c>
      <c r="I63" s="164"/>
      <c r="J63" s="164"/>
      <c r="K63" s="164"/>
      <c r="L63" s="164"/>
      <c r="M63" s="73"/>
      <c r="N63" s="240"/>
      <c r="O63" s="240"/>
      <c r="P63" s="240">
        <v>46000000</v>
      </c>
      <c r="Q63" s="165"/>
      <c r="R63" s="565" t="s">
        <v>5160</v>
      </c>
    </row>
    <row r="64" spans="1:19" s="64" customFormat="1" outlineLevel="2" x14ac:dyDescent="0.25">
      <c r="A64" s="157">
        <v>3113</v>
      </c>
      <c r="B64" s="391">
        <v>6121</v>
      </c>
      <c r="C64" s="193">
        <v>2080</v>
      </c>
      <c r="D64" s="256">
        <v>17726</v>
      </c>
      <c r="E64" s="157">
        <v>0</v>
      </c>
      <c r="F64" s="157">
        <v>0</v>
      </c>
      <c r="G64" s="14" t="str">
        <f t="shared" si="15"/>
        <v>3113/6121/2080/17726/0/0</v>
      </c>
      <c r="H64" s="71" t="s">
        <v>5032</v>
      </c>
      <c r="I64" s="164"/>
      <c r="J64" s="164"/>
      <c r="K64" s="164"/>
      <c r="L64" s="164"/>
      <c r="M64" s="73"/>
      <c r="N64" s="240"/>
      <c r="O64" s="240"/>
      <c r="P64" s="240">
        <f>3000000-285560</f>
        <v>2714440</v>
      </c>
      <c r="Q64" s="165"/>
      <c r="R64" s="565" t="s">
        <v>5160</v>
      </c>
    </row>
    <row r="65" spans="1:18" s="59" customFormat="1" outlineLevel="2" x14ac:dyDescent="0.25">
      <c r="A65" s="265">
        <v>3412</v>
      </c>
      <c r="B65" s="265">
        <v>6121</v>
      </c>
      <c r="C65" s="265">
        <v>2490</v>
      </c>
      <c r="D65" s="265">
        <v>16434</v>
      </c>
      <c r="E65" s="265">
        <v>0</v>
      </c>
      <c r="F65" s="265">
        <v>0</v>
      </c>
      <c r="G65" s="14" t="str">
        <f t="shared" si="15"/>
        <v>3412/6121/2490/16434/0/0</v>
      </c>
      <c r="H65" s="338" t="s">
        <v>5026</v>
      </c>
      <c r="I65" s="265"/>
      <c r="J65" s="73"/>
      <c r="K65" s="72"/>
      <c r="L65" s="73"/>
      <c r="M65" s="73"/>
      <c r="N65" s="240"/>
      <c r="O65" s="240"/>
      <c r="P65" s="240">
        <f>27153000-2153000</f>
        <v>25000000</v>
      </c>
      <c r="Q65" s="165"/>
      <c r="R65" s="565" t="s">
        <v>5160</v>
      </c>
    </row>
    <row r="66" spans="1:18" s="59" customFormat="1" ht="45" outlineLevel="2" x14ac:dyDescent="0.25">
      <c r="A66" s="265">
        <v>3613</v>
      </c>
      <c r="B66" s="265">
        <v>6121</v>
      </c>
      <c r="C66" s="265">
        <v>2490</v>
      </c>
      <c r="D66" s="265">
        <v>0</v>
      </c>
      <c r="E66" s="265">
        <v>0</v>
      </c>
      <c r="F66" s="265">
        <v>0</v>
      </c>
      <c r="G66" s="14" t="str">
        <f t="shared" si="15"/>
        <v>3613/6121/2490/0/0/0</v>
      </c>
      <c r="H66" s="338" t="s">
        <v>5044</v>
      </c>
      <c r="I66" s="265"/>
      <c r="J66" s="73"/>
      <c r="K66" s="72"/>
      <c r="L66" s="73"/>
      <c r="M66" s="73"/>
      <c r="N66" s="240"/>
      <c r="O66" s="240"/>
      <c r="P66" s="240">
        <v>5000000</v>
      </c>
      <c r="Q66" s="165"/>
      <c r="R66" s="152" t="s">
        <v>5163</v>
      </c>
    </row>
    <row r="67" spans="1:18" s="59" customFormat="1" outlineLevel="2" x14ac:dyDescent="0.25">
      <c r="A67" s="449" t="s">
        <v>4622</v>
      </c>
      <c r="B67" s="449" t="s">
        <v>4362</v>
      </c>
      <c r="C67" s="449">
        <v>2490</v>
      </c>
      <c r="D67" s="449">
        <v>0</v>
      </c>
      <c r="E67" s="449">
        <v>0</v>
      </c>
      <c r="F67" s="449">
        <v>0</v>
      </c>
      <c r="G67" s="14" t="str">
        <f t="shared" si="15"/>
        <v>52xx/6xxx/2490/0/0/0</v>
      </c>
      <c r="H67" s="447" t="s">
        <v>4771</v>
      </c>
      <c r="I67" s="73"/>
      <c r="J67" s="73"/>
      <c r="K67" s="179"/>
      <c r="L67" s="73"/>
      <c r="M67" s="73"/>
      <c r="N67" s="240"/>
      <c r="O67" s="240">
        <v>1060500</v>
      </c>
      <c r="P67" s="240"/>
      <c r="Q67" s="165"/>
      <c r="R67" s="71"/>
    </row>
    <row r="68" spans="1:18" s="59" customFormat="1" outlineLevel="2" x14ac:dyDescent="0.25">
      <c r="A68" s="265" t="s">
        <v>4365</v>
      </c>
      <c r="B68" s="391" t="s">
        <v>4362</v>
      </c>
      <c r="C68" s="265">
        <v>2490</v>
      </c>
      <c r="D68" s="256">
        <v>0</v>
      </c>
      <c r="E68" s="265">
        <v>0</v>
      </c>
      <c r="F68" s="265">
        <v>0</v>
      </c>
      <c r="G68" s="14" t="str">
        <f t="shared" si="15"/>
        <v>37xx/6xxx/2490/0/0/0</v>
      </c>
      <c r="H68" s="266" t="s">
        <v>4397</v>
      </c>
      <c r="I68" s="72"/>
      <c r="J68" s="72"/>
      <c r="K68" s="72"/>
      <c r="L68" s="73">
        <v>93327.47</v>
      </c>
      <c r="M68" s="73"/>
      <c r="N68" s="240">
        <v>0</v>
      </c>
      <c r="O68" s="240"/>
      <c r="P68" s="240"/>
      <c r="Q68" s="165"/>
      <c r="R68" s="71"/>
    </row>
    <row r="69" spans="1:18" s="59" customFormat="1" ht="30" outlineLevel="2" x14ac:dyDescent="0.25">
      <c r="A69" s="157">
        <v>4351</v>
      </c>
      <c r="B69" s="391">
        <v>6121</v>
      </c>
      <c r="C69" s="193">
        <v>2490</v>
      </c>
      <c r="D69" s="256">
        <v>12019</v>
      </c>
      <c r="E69" s="157">
        <v>0</v>
      </c>
      <c r="F69" s="157">
        <v>0</v>
      </c>
      <c r="G69" s="14" t="str">
        <f t="shared" si="15"/>
        <v>4351/6121/2490/12019/0/0</v>
      </c>
      <c r="H69" s="71" t="s">
        <v>5047</v>
      </c>
      <c r="I69" s="73"/>
      <c r="J69" s="73"/>
      <c r="K69" s="72"/>
      <c r="L69" s="73"/>
      <c r="M69" s="73"/>
      <c r="N69" s="240"/>
      <c r="O69" s="240"/>
      <c r="P69" s="240">
        <v>10000000</v>
      </c>
      <c r="Q69" s="165"/>
      <c r="R69" s="71" t="s">
        <v>5093</v>
      </c>
    </row>
    <row r="70" spans="1:18" s="59" customFormat="1" outlineLevel="2" x14ac:dyDescent="0.25">
      <c r="A70" s="207">
        <v>3632</v>
      </c>
      <c r="B70" s="207">
        <v>6121</v>
      </c>
      <c r="C70" s="207">
        <v>2490</v>
      </c>
      <c r="D70" s="207">
        <v>11016</v>
      </c>
      <c r="E70" s="207">
        <v>0</v>
      </c>
      <c r="F70" s="207">
        <v>0</v>
      </c>
      <c r="G70" s="14" t="str">
        <f t="shared" si="15"/>
        <v>3632/6121/2490/11016/0/0</v>
      </c>
      <c r="H70" s="75" t="s">
        <v>600</v>
      </c>
      <c r="I70" s="76">
        <f>4922579.35+160490.47</f>
        <v>5083069.8199999994</v>
      </c>
      <c r="J70" s="76">
        <f>42229+4932995</f>
        <v>4975224</v>
      </c>
      <c r="K70" s="72">
        <v>2386149.0699999998</v>
      </c>
      <c r="L70" s="73">
        <v>3255638.44</v>
      </c>
      <c r="M70" s="73">
        <v>4614024.76</v>
      </c>
      <c r="N70" s="240">
        <v>5000000</v>
      </c>
      <c r="O70" s="240">
        <v>7072633.0899999999</v>
      </c>
      <c r="P70" s="240">
        <v>3000000</v>
      </c>
      <c r="Q70" s="165"/>
      <c r="R70" s="75" t="s">
        <v>5164</v>
      </c>
    </row>
    <row r="71" spans="1:18" s="59" customFormat="1" outlineLevel="2" x14ac:dyDescent="0.25">
      <c r="A71" s="207">
        <v>3613</v>
      </c>
      <c r="B71" s="207">
        <v>6121</v>
      </c>
      <c r="C71" s="207">
        <v>2490</v>
      </c>
      <c r="D71" s="207">
        <v>11638</v>
      </c>
      <c r="E71" s="207">
        <v>0</v>
      </c>
      <c r="F71" s="207">
        <v>0</v>
      </c>
      <c r="G71" s="14" t="str">
        <f t="shared" si="15"/>
        <v>3613/6121/2490/11638/0/0</v>
      </c>
      <c r="H71" s="77" t="s">
        <v>3743</v>
      </c>
      <c r="I71" s="76">
        <v>10640</v>
      </c>
      <c r="J71" s="76">
        <f>190000+19500+175500</f>
        <v>385000</v>
      </c>
      <c r="K71" s="72">
        <v>2676943.5</v>
      </c>
      <c r="L71" s="73">
        <v>10886411.509999998</v>
      </c>
      <c r="M71" s="73">
        <v>27047256.34</v>
      </c>
      <c r="N71" s="240">
        <v>14700000</v>
      </c>
      <c r="O71" s="240"/>
      <c r="P71" s="240"/>
      <c r="Q71" s="165"/>
      <c r="R71" s="75"/>
    </row>
    <row r="72" spans="1:18" s="64" customFormat="1" outlineLevel="2" x14ac:dyDescent="0.25">
      <c r="A72" s="449" t="s">
        <v>4620</v>
      </c>
      <c r="B72" s="449" t="s">
        <v>4362</v>
      </c>
      <c r="C72" s="449">
        <v>2490</v>
      </c>
      <c r="D72" s="449">
        <v>0</v>
      </c>
      <c r="E72" s="449">
        <v>0</v>
      </c>
      <c r="F72" s="449">
        <v>0</v>
      </c>
      <c r="G72" s="14" t="str">
        <f t="shared" si="15"/>
        <v>43xx/6xxx/2490/0/0/0</v>
      </c>
      <c r="H72" s="447" t="s">
        <v>4770</v>
      </c>
      <c r="I72" s="73"/>
      <c r="J72" s="73"/>
      <c r="K72" s="179"/>
      <c r="L72" s="73"/>
      <c r="M72" s="73"/>
      <c r="N72" s="240"/>
      <c r="O72" s="240">
        <v>491260</v>
      </c>
      <c r="P72" s="240"/>
      <c r="Q72" s="165"/>
      <c r="R72" s="75"/>
    </row>
    <row r="73" spans="1:18" s="64" customFormat="1" outlineLevel="2" x14ac:dyDescent="0.25">
      <c r="A73" s="187" t="s">
        <v>4616</v>
      </c>
      <c r="B73" s="391" t="s">
        <v>4362</v>
      </c>
      <c r="C73" s="187">
        <v>2490</v>
      </c>
      <c r="D73" s="256">
        <v>0</v>
      </c>
      <c r="E73" s="193">
        <v>0</v>
      </c>
      <c r="F73" s="193">
        <v>0</v>
      </c>
      <c r="G73" s="14" t="str">
        <f t="shared" si="15"/>
        <v>34xx/6xxx/2490/0/0/0</v>
      </c>
      <c r="H73" s="21" t="s">
        <v>4363</v>
      </c>
      <c r="I73" s="73">
        <v>44188062.549999997</v>
      </c>
      <c r="J73" s="73">
        <v>21516323.879999999</v>
      </c>
      <c r="K73" s="179">
        <v>23964739.640000001</v>
      </c>
      <c r="L73" s="73">
        <v>3833353.6900000004</v>
      </c>
      <c r="M73" s="73">
        <v>13919384.92</v>
      </c>
      <c r="N73" s="240">
        <v>0</v>
      </c>
      <c r="O73" s="240">
        <v>1052100</v>
      </c>
      <c r="P73" s="240"/>
      <c r="Q73" s="165"/>
      <c r="R73" s="71"/>
    </row>
    <row r="74" spans="1:18" s="59" customFormat="1" outlineLevel="2" x14ac:dyDescent="0.25">
      <c r="A74" s="187" t="s">
        <v>3838</v>
      </c>
      <c r="B74" s="391" t="s">
        <v>4362</v>
      </c>
      <c r="C74" s="187">
        <v>2490</v>
      </c>
      <c r="D74" s="256">
        <v>0</v>
      </c>
      <c r="E74" s="187">
        <v>0</v>
      </c>
      <c r="F74" s="187">
        <v>0</v>
      </c>
      <c r="G74" s="14" t="str">
        <f t="shared" si="15"/>
        <v>31xx/6xxx/2490/0/0/0</v>
      </c>
      <c r="H74" s="21" t="s">
        <v>4626</v>
      </c>
      <c r="I74" s="76">
        <v>0</v>
      </c>
      <c r="J74" s="76"/>
      <c r="K74" s="72">
        <v>502450</v>
      </c>
      <c r="L74" s="73">
        <v>5671720.5099999998</v>
      </c>
      <c r="M74" s="73">
        <v>16587381.77</v>
      </c>
      <c r="N74" s="240">
        <v>0</v>
      </c>
      <c r="O74" s="240">
        <v>6318010</v>
      </c>
      <c r="P74" s="240"/>
      <c r="Q74" s="165"/>
      <c r="R74" s="71"/>
    </row>
    <row r="75" spans="1:18" s="59" customFormat="1" outlineLevel="2" x14ac:dyDescent="0.25">
      <c r="A75" s="187" t="s">
        <v>4618</v>
      </c>
      <c r="B75" s="391" t="s">
        <v>4362</v>
      </c>
      <c r="C75" s="187">
        <v>2490</v>
      </c>
      <c r="D75" s="256">
        <v>0</v>
      </c>
      <c r="E75" s="187">
        <v>0</v>
      </c>
      <c r="F75" s="187">
        <v>0</v>
      </c>
      <c r="G75" s="14" t="str">
        <f t="shared" si="15"/>
        <v>23xx/6xxx/2490/0/0/0</v>
      </c>
      <c r="H75" s="21" t="s">
        <v>4465</v>
      </c>
      <c r="I75" s="76">
        <v>0</v>
      </c>
      <c r="J75" s="76">
        <v>891770</v>
      </c>
      <c r="K75" s="179"/>
      <c r="L75" s="73">
        <v>72600</v>
      </c>
      <c r="M75" s="73">
        <v>645051</v>
      </c>
      <c r="N75" s="240">
        <v>500000</v>
      </c>
      <c r="O75" s="240">
        <v>2447839</v>
      </c>
      <c r="P75" s="240"/>
      <c r="Q75" s="165"/>
      <c r="R75" s="71"/>
    </row>
    <row r="76" spans="1:18" s="59" customFormat="1" outlineLevel="2" x14ac:dyDescent="0.25">
      <c r="A76" s="207">
        <v>3639</v>
      </c>
      <c r="B76" s="207">
        <v>6901</v>
      </c>
      <c r="C76" s="207">
        <v>2490</v>
      </c>
      <c r="D76" s="207">
        <v>0</v>
      </c>
      <c r="E76" s="207">
        <v>0</v>
      </c>
      <c r="F76" s="207">
        <v>0</v>
      </c>
      <c r="G76" s="14" t="str">
        <f t="shared" si="15"/>
        <v>3639/6901/2490/0/0/0</v>
      </c>
      <c r="H76" s="75" t="s">
        <v>599</v>
      </c>
      <c r="I76" s="156"/>
      <c r="J76" s="156"/>
      <c r="K76" s="156"/>
      <c r="L76" s="73"/>
      <c r="M76" s="73"/>
      <c r="N76" s="240">
        <v>4000000</v>
      </c>
      <c r="O76" s="240">
        <v>1932105.4</v>
      </c>
      <c r="P76" s="240"/>
      <c r="Q76" s="165"/>
      <c r="R76" s="75"/>
    </row>
    <row r="77" spans="1:18" s="59" customFormat="1" outlineLevel="1" x14ac:dyDescent="0.25">
      <c r="A77" s="491"/>
      <c r="B77" s="491"/>
      <c r="C77" s="499" t="s">
        <v>4673</v>
      </c>
      <c r="D77" s="491"/>
      <c r="E77" s="491"/>
      <c r="F77" s="491">
        <v>2490</v>
      </c>
      <c r="G77" s="14"/>
      <c r="H77" s="506" t="str">
        <f>VLOOKUP(F77,orJ_správce_telefon_mail!A:B,2,0)</f>
        <v>Odbor investic - Ing. Králik</v>
      </c>
      <c r="I77" s="515">
        <f t="shared" ref="I77:Q77" si="16">SUBTOTAL(9,I59:I76)</f>
        <v>110237098.11</v>
      </c>
      <c r="J77" s="515">
        <f t="shared" si="16"/>
        <v>95667615.5</v>
      </c>
      <c r="K77" s="515">
        <f t="shared" si="16"/>
        <v>87405096.300000012</v>
      </c>
      <c r="L77" s="509">
        <f t="shared" si="16"/>
        <v>52801879.469999991</v>
      </c>
      <c r="M77" s="509">
        <f t="shared" si="16"/>
        <v>70319216.75</v>
      </c>
      <c r="N77" s="511">
        <f t="shared" si="16"/>
        <v>29700000</v>
      </c>
      <c r="O77" s="511">
        <f t="shared" si="16"/>
        <v>78037377.290000007</v>
      </c>
      <c r="P77" s="511">
        <f t="shared" si="16"/>
        <v>157386800</v>
      </c>
      <c r="Q77" s="512">
        <f t="shared" si="16"/>
        <v>11000000</v>
      </c>
      <c r="R77" s="513"/>
    </row>
    <row r="78" spans="1:18" s="59" customFormat="1" outlineLevel="2" x14ac:dyDescent="0.25">
      <c r="A78" s="157">
        <v>2321</v>
      </c>
      <c r="B78" s="157">
        <v>6371</v>
      </c>
      <c r="C78" s="157">
        <v>2600</v>
      </c>
      <c r="D78" s="157">
        <v>0</v>
      </c>
      <c r="E78" s="157">
        <v>0</v>
      </c>
      <c r="F78" s="157">
        <v>0</v>
      </c>
      <c r="G78" s="14" t="str">
        <f>CONCATENATE(A78,"/",B78,"/",C78,"/",D78,"/",E78,"/",F78)</f>
        <v>2321/6371/2600/0/0/0</v>
      </c>
      <c r="H78" s="75" t="s">
        <v>610</v>
      </c>
      <c r="I78" s="73">
        <v>5000</v>
      </c>
      <c r="J78" s="73">
        <v>10000</v>
      </c>
      <c r="K78" s="72">
        <v>15000</v>
      </c>
      <c r="L78" s="73">
        <v>94849</v>
      </c>
      <c r="M78" s="73">
        <v>73224</v>
      </c>
      <c r="N78" s="240">
        <v>350000</v>
      </c>
      <c r="O78" s="240">
        <v>350000</v>
      </c>
      <c r="P78" s="240">
        <v>150000</v>
      </c>
      <c r="Q78" s="165"/>
      <c r="R78" s="71"/>
    </row>
    <row r="79" spans="1:18" s="59" customFormat="1" outlineLevel="2" x14ac:dyDescent="0.25">
      <c r="A79" s="157">
        <v>3635</v>
      </c>
      <c r="B79" s="157">
        <v>6119</v>
      </c>
      <c r="C79" s="157">
        <v>2600</v>
      </c>
      <c r="D79" s="157">
        <v>0</v>
      </c>
      <c r="E79" s="157">
        <v>0</v>
      </c>
      <c r="F79" s="157">
        <v>0</v>
      </c>
      <c r="G79" s="14" t="str">
        <f>CONCATENATE(A79,"/",B79,"/",C79,"/",D79,"/",E79,"/",F79)</f>
        <v>3635/6119/2600/0/0/0</v>
      </c>
      <c r="H79" s="75" t="s">
        <v>611</v>
      </c>
      <c r="I79" s="73">
        <v>0</v>
      </c>
      <c r="J79" s="73">
        <f>165924+36750+330750+1626240</f>
        <v>2159664</v>
      </c>
      <c r="K79" s="72">
        <v>442320</v>
      </c>
      <c r="L79" s="73"/>
      <c r="M79" s="73">
        <v>249260</v>
      </c>
      <c r="N79" s="240">
        <v>500000</v>
      </c>
      <c r="O79" s="240">
        <v>500000</v>
      </c>
      <c r="P79" s="240">
        <v>770000</v>
      </c>
      <c r="Q79" s="165"/>
      <c r="R79" s="71"/>
    </row>
    <row r="80" spans="1:18" s="59" customFormat="1" outlineLevel="1" x14ac:dyDescent="0.25">
      <c r="A80" s="491"/>
      <c r="B80" s="491"/>
      <c r="C80" s="499" t="s">
        <v>5012</v>
      </c>
      <c r="D80" s="491"/>
      <c r="E80" s="491"/>
      <c r="F80" s="491">
        <v>2600</v>
      </c>
      <c r="G80" s="14"/>
      <c r="H80" s="506" t="str">
        <f>VLOOKUP(F80,orJ_správce_telefon_mail!A:B,2,0)</f>
        <v>Oddělení regionálního rozvoje a územního plánování - Mgr. Věra Klimentová</v>
      </c>
      <c r="I80" s="509">
        <f t="shared" ref="I80:Q80" si="17">SUBTOTAL(9,I78:I79)</f>
        <v>5000</v>
      </c>
      <c r="J80" s="509">
        <f t="shared" si="17"/>
        <v>2169664</v>
      </c>
      <c r="K80" s="510">
        <f t="shared" si="17"/>
        <v>457320</v>
      </c>
      <c r="L80" s="509">
        <f t="shared" si="17"/>
        <v>94849</v>
      </c>
      <c r="M80" s="509">
        <f t="shared" si="17"/>
        <v>322484</v>
      </c>
      <c r="N80" s="511">
        <f t="shared" si="17"/>
        <v>850000</v>
      </c>
      <c r="O80" s="511">
        <f t="shared" si="17"/>
        <v>850000</v>
      </c>
      <c r="P80" s="511">
        <f t="shared" si="17"/>
        <v>920000</v>
      </c>
      <c r="Q80" s="512">
        <f t="shared" si="17"/>
        <v>0</v>
      </c>
      <c r="R80" s="513"/>
    </row>
    <row r="81" spans="1:18" s="59" customFormat="1" outlineLevel="2" x14ac:dyDescent="0.25">
      <c r="A81" s="390" t="s">
        <v>4364</v>
      </c>
      <c r="B81" s="392" t="s">
        <v>4362</v>
      </c>
      <c r="C81" s="306">
        <v>2698</v>
      </c>
      <c r="D81" s="386">
        <v>0</v>
      </c>
      <c r="E81" s="390">
        <v>0</v>
      </c>
      <c r="F81" s="390">
        <v>0</v>
      </c>
      <c r="G81" s="14" t="str">
        <f>CONCATENATE(A81,"/",B81,"/",C81,"/",D81,"/",E81,"/",F81)</f>
        <v>36xx/6xxx/2698/0/0/0</v>
      </c>
      <c r="H81" s="393" t="s">
        <v>4441</v>
      </c>
      <c r="I81" s="282"/>
      <c r="J81" s="387"/>
      <c r="K81" s="387"/>
      <c r="L81" s="388"/>
      <c r="M81" s="388"/>
      <c r="N81" s="389">
        <v>0</v>
      </c>
      <c r="O81" s="389"/>
      <c r="P81" s="389"/>
      <c r="Q81" s="394"/>
      <c r="R81" s="395"/>
    </row>
    <row r="82" spans="1:18" s="59" customFormat="1" ht="30" outlineLevel="1" x14ac:dyDescent="0.25">
      <c r="A82" s="492"/>
      <c r="B82" s="502"/>
      <c r="C82" s="508" t="s">
        <v>4675</v>
      </c>
      <c r="D82" s="502"/>
      <c r="E82" s="492"/>
      <c r="F82" s="492">
        <v>2698</v>
      </c>
      <c r="G82" s="14"/>
      <c r="H82" s="506" t="str">
        <f>VLOOKUP(F82,orJ_správce_telefon_mail!A:B,2,0)</f>
        <v>Fond pro správu a údržbu infrastruktury města Kutná Hora - spadá pod Oddělení reg.rozvoje</v>
      </c>
      <c r="I82" s="517">
        <f t="shared" ref="I82:Q82" si="18">SUBTOTAL(9,I81:I81)</f>
        <v>0</v>
      </c>
      <c r="J82" s="510">
        <f t="shared" si="18"/>
        <v>0</v>
      </c>
      <c r="K82" s="510">
        <f t="shared" si="18"/>
        <v>0</v>
      </c>
      <c r="L82" s="509">
        <f t="shared" si="18"/>
        <v>0</v>
      </c>
      <c r="M82" s="509">
        <f t="shared" si="18"/>
        <v>0</v>
      </c>
      <c r="N82" s="511">
        <f t="shared" si="18"/>
        <v>0</v>
      </c>
      <c r="O82" s="511">
        <f t="shared" si="18"/>
        <v>0</v>
      </c>
      <c r="P82" s="511">
        <f t="shared" si="18"/>
        <v>0</v>
      </c>
      <c r="Q82" s="512">
        <f t="shared" si="18"/>
        <v>0</v>
      </c>
      <c r="R82" s="513"/>
    </row>
    <row r="83" spans="1:18" s="59" customFormat="1" outlineLevel="2" x14ac:dyDescent="0.25">
      <c r="A83" s="157">
        <v>3522</v>
      </c>
      <c r="B83" s="157">
        <v>6316</v>
      </c>
      <c r="C83" s="193">
        <v>2700</v>
      </c>
      <c r="D83" s="157">
        <v>52734</v>
      </c>
      <c r="E83" s="157">
        <v>0</v>
      </c>
      <c r="F83" s="157">
        <v>0</v>
      </c>
      <c r="G83" s="14" t="str">
        <f>CONCATENATE(A83,"/",B83,"/",C83,"/",D83,"/",E83,"/",F83)</f>
        <v>3522/6316/2700/52734/0/0</v>
      </c>
      <c r="H83" s="71" t="s">
        <v>5049</v>
      </c>
      <c r="I83" s="73">
        <v>126929</v>
      </c>
      <c r="J83" s="73"/>
      <c r="K83" s="72">
        <v>1000000</v>
      </c>
      <c r="L83" s="73">
        <v>1000000</v>
      </c>
      <c r="M83" s="73">
        <v>999656.9</v>
      </c>
      <c r="N83" s="240">
        <v>1000000</v>
      </c>
      <c r="O83" s="240">
        <v>1000000</v>
      </c>
      <c r="P83" s="240">
        <v>1000000</v>
      </c>
      <c r="Q83" s="165"/>
      <c r="R83" s="71"/>
    </row>
    <row r="84" spans="1:18" s="59" customFormat="1" outlineLevel="2" x14ac:dyDescent="0.25">
      <c r="A84" s="265" t="s">
        <v>4620</v>
      </c>
      <c r="B84" s="391" t="s">
        <v>4362</v>
      </c>
      <c r="C84" s="265">
        <v>2700</v>
      </c>
      <c r="D84" s="256">
        <v>0</v>
      </c>
      <c r="E84" s="265">
        <v>0</v>
      </c>
      <c r="F84" s="265">
        <v>0</v>
      </c>
      <c r="G84" s="14" t="str">
        <f>CONCATENATE(A84,"/",B84,"/",C84,"/",D84,"/",E84,"/",F84)</f>
        <v>43xx/6xxx/2700/0/0/0</v>
      </c>
      <c r="H84" s="259" t="s">
        <v>5050</v>
      </c>
      <c r="I84" s="72"/>
      <c r="J84" s="72"/>
      <c r="K84" s="72"/>
      <c r="L84" s="73">
        <v>300000</v>
      </c>
      <c r="M84" s="73">
        <v>913681.87</v>
      </c>
      <c r="N84" s="240">
        <v>0</v>
      </c>
      <c r="O84" s="240"/>
      <c r="P84" s="240"/>
      <c r="Q84" s="165"/>
      <c r="R84" s="71"/>
    </row>
    <row r="85" spans="1:18" s="59" customFormat="1" outlineLevel="1" x14ac:dyDescent="0.25">
      <c r="A85" s="500"/>
      <c r="B85" s="502"/>
      <c r="C85" s="501" t="s">
        <v>4677</v>
      </c>
      <c r="D85" s="502"/>
      <c r="E85" s="500"/>
      <c r="F85" s="500">
        <v>2700</v>
      </c>
      <c r="G85" s="14"/>
      <c r="H85" s="506" t="str">
        <f>VLOOKUP(F85,orJ_správce_telefon_mail!A:B,2,0)</f>
        <v>Odbor sociálních věcí a zdravotnictví - Mgr.; Bc. Šlesingr, DiS.</v>
      </c>
      <c r="I85" s="510">
        <f t="shared" ref="I85:Q85" si="19">SUBTOTAL(9,I83:I84)</f>
        <v>126929</v>
      </c>
      <c r="J85" s="510">
        <f t="shared" si="19"/>
        <v>0</v>
      </c>
      <c r="K85" s="510">
        <f t="shared" si="19"/>
        <v>1000000</v>
      </c>
      <c r="L85" s="509">
        <f t="shared" si="19"/>
        <v>1300000</v>
      </c>
      <c r="M85" s="509">
        <f t="shared" si="19"/>
        <v>1913338.77</v>
      </c>
      <c r="N85" s="511">
        <f t="shared" si="19"/>
        <v>1000000</v>
      </c>
      <c r="O85" s="511">
        <f t="shared" si="19"/>
        <v>1000000</v>
      </c>
      <c r="P85" s="511">
        <f t="shared" si="19"/>
        <v>1000000</v>
      </c>
      <c r="Q85" s="512">
        <f t="shared" si="19"/>
        <v>0</v>
      </c>
      <c r="R85" s="513"/>
    </row>
    <row r="86" spans="1:18" s="59" customFormat="1" outlineLevel="2" x14ac:dyDescent="0.25">
      <c r="A86" s="157" t="s">
        <v>4361</v>
      </c>
      <c r="B86" s="391" t="s">
        <v>4362</v>
      </c>
      <c r="C86" s="157">
        <v>2870</v>
      </c>
      <c r="D86" s="256">
        <v>0</v>
      </c>
      <c r="E86" s="157">
        <v>0</v>
      </c>
      <c r="F86" s="157">
        <v>0</v>
      </c>
      <c r="G86" s="14" t="str">
        <f>CONCATENATE(A86,"/",B86,"/",C86,"/",D86,"/",E86,"/",F86)</f>
        <v>33xx/6xxx/2870/0/0/0</v>
      </c>
      <c r="H86" s="71" t="s">
        <v>615</v>
      </c>
      <c r="I86" s="73">
        <v>100000</v>
      </c>
      <c r="J86" s="73">
        <v>92900</v>
      </c>
      <c r="K86" s="72"/>
      <c r="L86" s="73"/>
      <c r="M86" s="73"/>
      <c r="N86" s="240">
        <v>0</v>
      </c>
      <c r="O86" s="240"/>
      <c r="P86" s="240"/>
      <c r="Q86" s="165"/>
      <c r="R86" s="71"/>
    </row>
    <row r="87" spans="1:18" s="59" customFormat="1" outlineLevel="1" x14ac:dyDescent="0.25">
      <c r="A87" s="491"/>
      <c r="B87" s="502"/>
      <c r="C87" s="499" t="s">
        <v>4679</v>
      </c>
      <c r="D87" s="502"/>
      <c r="E87" s="491"/>
      <c r="F87" s="491">
        <v>2870</v>
      </c>
      <c r="G87" s="14"/>
      <c r="H87" s="506" t="str">
        <f>VLOOKUP(F87,orJ_správce_telefon_mail!A:B,2,0)</f>
        <v>Oddělení památkové péče - Ing. Žáčková</v>
      </c>
      <c r="I87" s="509">
        <f t="shared" ref="I87:Q87" si="20">SUBTOTAL(9,I86:I86)</f>
        <v>100000</v>
      </c>
      <c r="J87" s="509">
        <f t="shared" si="20"/>
        <v>92900</v>
      </c>
      <c r="K87" s="510">
        <f t="shared" si="20"/>
        <v>0</v>
      </c>
      <c r="L87" s="509">
        <f t="shared" si="20"/>
        <v>0</v>
      </c>
      <c r="M87" s="509">
        <f t="shared" si="20"/>
        <v>0</v>
      </c>
      <c r="N87" s="511">
        <f t="shared" si="20"/>
        <v>0</v>
      </c>
      <c r="O87" s="511">
        <f t="shared" si="20"/>
        <v>0</v>
      </c>
      <c r="P87" s="511">
        <f t="shared" si="20"/>
        <v>0</v>
      </c>
      <c r="Q87" s="512">
        <f t="shared" si="20"/>
        <v>0</v>
      </c>
      <c r="R87" s="513"/>
    </row>
    <row r="88" spans="1:18" s="59" customFormat="1" outlineLevel="2" x14ac:dyDescent="0.25">
      <c r="A88" s="384" t="s">
        <v>4364</v>
      </c>
      <c r="B88" s="391" t="s">
        <v>4362</v>
      </c>
      <c r="C88" s="384">
        <v>2956</v>
      </c>
      <c r="D88" s="256">
        <v>0</v>
      </c>
      <c r="E88" s="157">
        <v>0</v>
      </c>
      <c r="F88" s="157">
        <v>0</v>
      </c>
      <c r="G88" s="14" t="str">
        <f>CONCATENATE(A88,"/",B88,"/",C88,"/",D88,"/",E88,"/",F88)</f>
        <v>36xx/6xxx/2956/0/0/0</v>
      </c>
      <c r="H88" s="75" t="s">
        <v>4359</v>
      </c>
      <c r="I88" s="72">
        <v>11831109.23</v>
      </c>
      <c r="J88" s="72">
        <v>7405576.3899999987</v>
      </c>
      <c r="K88" s="72">
        <v>8133101.9900000002</v>
      </c>
      <c r="L88" s="73">
        <v>8112170.6699999999</v>
      </c>
      <c r="M88" s="73">
        <v>205100</v>
      </c>
      <c r="N88" s="240">
        <v>0</v>
      </c>
      <c r="O88" s="240">
        <v>47580</v>
      </c>
      <c r="P88" s="240"/>
      <c r="Q88" s="165"/>
      <c r="R88" s="71"/>
    </row>
    <row r="89" spans="1:18" s="59" customFormat="1" outlineLevel="2" x14ac:dyDescent="0.25">
      <c r="A89" s="449">
        <v>3613</v>
      </c>
      <c r="B89" s="449">
        <v>6121</v>
      </c>
      <c r="C89" s="449">
        <v>2956</v>
      </c>
      <c r="D89" s="449">
        <v>11008</v>
      </c>
      <c r="E89" s="449">
        <v>0</v>
      </c>
      <c r="F89" s="449">
        <v>0</v>
      </c>
      <c r="G89" s="14" t="str">
        <f>CONCATENATE(A89,"/",B89,"/",C89,"/",D89,"/",E89,"/",F89)</f>
        <v>3613/6121/2956/11008/0/0</v>
      </c>
      <c r="H89" s="72" t="s">
        <v>5036</v>
      </c>
      <c r="I89" s="73"/>
      <c r="J89" s="73"/>
      <c r="K89" s="72"/>
      <c r="L89" s="73"/>
      <c r="M89" s="73"/>
      <c r="N89" s="240"/>
      <c r="O89" s="240"/>
      <c r="P89" s="466">
        <v>800000</v>
      </c>
      <c r="Q89" s="466"/>
      <c r="R89" s="467" t="s">
        <v>4943</v>
      </c>
    </row>
    <row r="90" spans="1:18" s="59" customFormat="1" outlineLevel="2" x14ac:dyDescent="0.25">
      <c r="A90" s="449">
        <v>3613</v>
      </c>
      <c r="B90" s="449">
        <v>6121</v>
      </c>
      <c r="C90" s="449">
        <v>2956</v>
      </c>
      <c r="D90" s="449">
        <v>49820</v>
      </c>
      <c r="E90" s="449">
        <v>0</v>
      </c>
      <c r="F90" s="449">
        <v>0</v>
      </c>
      <c r="G90" s="14" t="str">
        <f>CONCATENATE(A90,"/",B90,"/",C90,"/",D90,"/",E90,"/",F90)</f>
        <v>3613/6121/2956/49820/0/0</v>
      </c>
      <c r="H90" s="72" t="s">
        <v>4946</v>
      </c>
      <c r="I90" s="73"/>
      <c r="J90" s="73"/>
      <c r="K90" s="72"/>
      <c r="L90" s="73"/>
      <c r="M90" s="73"/>
      <c r="N90" s="240"/>
      <c r="O90" s="240"/>
      <c r="P90" s="448">
        <v>2000000</v>
      </c>
      <c r="Q90" s="448"/>
      <c r="R90" s="536" t="s">
        <v>4947</v>
      </c>
    </row>
    <row r="91" spans="1:18" s="59" customFormat="1" outlineLevel="1" x14ac:dyDescent="0.25">
      <c r="A91" s="504"/>
      <c r="B91" s="504"/>
      <c r="C91" s="505" t="s">
        <v>5014</v>
      </c>
      <c r="D91" s="504"/>
      <c r="E91" s="504"/>
      <c r="F91" s="504">
        <v>2956</v>
      </c>
      <c r="G91" s="14"/>
      <c r="H91" s="506" t="str">
        <f>VLOOKUP(F91,orJ_správce_telefon_mail!A:B,2,0)</f>
        <v xml:space="preserve">Odbor správy majetku - Ing. Maternová - Oddělení správy nemovitostí </v>
      </c>
      <c r="I91" s="509">
        <f t="shared" ref="I91:Q91" si="21">SUBTOTAL(9,I88:I90)</f>
        <v>11831109.23</v>
      </c>
      <c r="J91" s="509">
        <f t="shared" si="21"/>
        <v>7405576.3899999987</v>
      </c>
      <c r="K91" s="510">
        <f t="shared" si="21"/>
        <v>8133101.9900000002</v>
      </c>
      <c r="L91" s="509">
        <f t="shared" si="21"/>
        <v>8112170.6699999999</v>
      </c>
      <c r="M91" s="509">
        <f t="shared" si="21"/>
        <v>205100</v>
      </c>
      <c r="N91" s="511">
        <f t="shared" si="21"/>
        <v>0</v>
      </c>
      <c r="O91" s="511">
        <f t="shared" si="21"/>
        <v>47580</v>
      </c>
      <c r="P91" s="518">
        <f t="shared" si="21"/>
        <v>2800000</v>
      </c>
      <c r="Q91" s="518">
        <f t="shared" si="21"/>
        <v>0</v>
      </c>
      <c r="R91" s="537"/>
    </row>
    <row r="92" spans="1:18" s="59" customFormat="1" outlineLevel="2" x14ac:dyDescent="0.25">
      <c r="A92" s="384" t="s">
        <v>4364</v>
      </c>
      <c r="B92" s="391" t="s">
        <v>4362</v>
      </c>
      <c r="C92" s="384">
        <v>2960</v>
      </c>
      <c r="D92" s="256">
        <v>0</v>
      </c>
      <c r="E92" s="157">
        <v>0</v>
      </c>
      <c r="F92" s="157">
        <v>0</v>
      </c>
      <c r="G92" s="14" t="str">
        <f t="shared" ref="G92:G105" si="22">CONCATENATE(A92,"/",B92,"/",C92,"/",D92,"/",E92,"/",F92)</f>
        <v>36xx/6xxx/2960/0/0/0</v>
      </c>
      <c r="H92" s="14" t="s">
        <v>5051</v>
      </c>
      <c r="I92" s="73">
        <v>3500000</v>
      </c>
      <c r="J92" s="73">
        <v>1859764.79</v>
      </c>
      <c r="K92" s="72"/>
      <c r="L92" s="73">
        <v>1576352.13</v>
      </c>
      <c r="M92" s="73">
        <v>296968.74</v>
      </c>
      <c r="N92" s="240">
        <v>0</v>
      </c>
      <c r="O92" s="240"/>
      <c r="P92" s="240"/>
      <c r="Q92" s="165"/>
      <c r="R92" s="71"/>
    </row>
    <row r="93" spans="1:18" s="59" customFormat="1" outlineLevel="2" x14ac:dyDescent="0.25">
      <c r="A93" s="384">
        <v>3421</v>
      </c>
      <c r="B93" s="384">
        <v>6121</v>
      </c>
      <c r="C93" s="384">
        <v>2960</v>
      </c>
      <c r="D93" s="157">
        <v>0</v>
      </c>
      <c r="E93" s="157">
        <v>0</v>
      </c>
      <c r="F93" s="157">
        <v>0</v>
      </c>
      <c r="G93" s="14" t="str">
        <f t="shared" si="22"/>
        <v>3421/6121/2960/0/0/0</v>
      </c>
      <c r="H93" s="71" t="s">
        <v>3695</v>
      </c>
      <c r="I93" s="73">
        <v>49998.32</v>
      </c>
      <c r="J93" s="73">
        <v>405260.74</v>
      </c>
      <c r="K93" s="72">
        <v>1143234</v>
      </c>
      <c r="L93" s="73">
        <f>342273+459174.81</f>
        <v>801447.81</v>
      </c>
      <c r="M93" s="73"/>
      <c r="N93" s="63">
        <v>500000</v>
      </c>
      <c r="O93" s="63">
        <v>500000</v>
      </c>
      <c r="P93" s="466">
        <v>500000</v>
      </c>
      <c r="Q93" s="466"/>
      <c r="R93" s="467" t="s">
        <v>4965</v>
      </c>
    </row>
    <row r="94" spans="1:18" s="59" customFormat="1" outlineLevel="2" x14ac:dyDescent="0.25">
      <c r="A94" s="384" t="s">
        <v>4617</v>
      </c>
      <c r="B94" s="391" t="s">
        <v>4362</v>
      </c>
      <c r="C94" s="384">
        <v>2960</v>
      </c>
      <c r="D94" s="256">
        <v>0</v>
      </c>
      <c r="E94" s="157">
        <v>0</v>
      </c>
      <c r="F94" s="157">
        <v>0</v>
      </c>
      <c r="G94" s="14" t="str">
        <f t="shared" si="22"/>
        <v>22xx/6xxx/2960/0/0/0</v>
      </c>
      <c r="H94" s="71" t="s">
        <v>3694</v>
      </c>
      <c r="I94" s="72">
        <v>162312.94</v>
      </c>
      <c r="J94" s="72">
        <v>219383.04000000001</v>
      </c>
      <c r="K94" s="72">
        <v>335729.4</v>
      </c>
      <c r="L94" s="73">
        <v>400</v>
      </c>
      <c r="M94" s="73"/>
      <c r="N94" s="240">
        <v>0</v>
      </c>
      <c r="O94" s="240"/>
      <c r="P94" s="240"/>
      <c r="Q94" s="165"/>
      <c r="R94" s="71"/>
    </row>
    <row r="95" spans="1:18" s="59" customFormat="1" outlineLevel="2" x14ac:dyDescent="0.25">
      <c r="A95" s="265" t="s">
        <v>4361</v>
      </c>
      <c r="B95" s="265" t="s">
        <v>4362</v>
      </c>
      <c r="C95" s="265">
        <v>2960</v>
      </c>
      <c r="D95" s="265">
        <v>0</v>
      </c>
      <c r="E95" s="265">
        <v>0</v>
      </c>
      <c r="F95" s="265">
        <v>0</v>
      </c>
      <c r="G95" s="14" t="str">
        <f t="shared" si="22"/>
        <v>33xx/6xxx/2960/0/0/0</v>
      </c>
      <c r="H95" s="238" t="s">
        <v>4625</v>
      </c>
      <c r="I95" s="72"/>
      <c r="J95" s="72"/>
      <c r="K95" s="72"/>
      <c r="L95" s="73"/>
      <c r="M95" s="73">
        <v>319440</v>
      </c>
      <c r="N95" s="240"/>
      <c r="O95" s="240"/>
      <c r="P95" s="240"/>
      <c r="Q95" s="165"/>
      <c r="R95" s="71"/>
    </row>
    <row r="96" spans="1:18" s="59" customFormat="1" outlineLevel="2" x14ac:dyDescent="0.25">
      <c r="A96" s="449">
        <v>2219</v>
      </c>
      <c r="B96" s="449">
        <v>6122</v>
      </c>
      <c r="C96" s="449">
        <v>2960</v>
      </c>
      <c r="D96" s="449">
        <v>0</v>
      </c>
      <c r="E96" s="449">
        <v>0</v>
      </c>
      <c r="F96" s="449">
        <v>0</v>
      </c>
      <c r="G96" s="14" t="str">
        <f t="shared" si="22"/>
        <v>2219/6122/2960/0/0/0</v>
      </c>
      <c r="H96" s="72" t="s">
        <v>4973</v>
      </c>
      <c r="I96" s="73"/>
      <c r="J96" s="73"/>
      <c r="K96" s="72"/>
      <c r="L96" s="73"/>
      <c r="M96" s="73"/>
      <c r="N96" s="240"/>
      <c r="O96" s="240"/>
      <c r="P96" s="448">
        <v>1500000</v>
      </c>
      <c r="Q96" s="448"/>
      <c r="R96" s="468" t="s">
        <v>5094</v>
      </c>
    </row>
    <row r="97" spans="1:18" s="59" customFormat="1" outlineLevel="2" x14ac:dyDescent="0.25">
      <c r="A97" s="385">
        <v>3633</v>
      </c>
      <c r="B97" s="385">
        <v>6121</v>
      </c>
      <c r="C97" s="384">
        <v>2960</v>
      </c>
      <c r="D97" s="187">
        <v>0</v>
      </c>
      <c r="E97" s="187">
        <v>0</v>
      </c>
      <c r="F97" s="187">
        <v>0</v>
      </c>
      <c r="G97" s="14" t="str">
        <f t="shared" si="22"/>
        <v>3633/6121/2960/0/0/0</v>
      </c>
      <c r="H97" s="21" t="s">
        <v>3742</v>
      </c>
      <c r="I97" s="73"/>
      <c r="J97" s="73"/>
      <c r="K97" s="179"/>
      <c r="L97" s="73"/>
      <c r="M97" s="73"/>
      <c r="N97" s="240">
        <v>1300000</v>
      </c>
      <c r="O97" s="240">
        <v>1300000</v>
      </c>
      <c r="P97" s="240"/>
      <c r="Q97" s="165"/>
      <c r="R97" s="71"/>
    </row>
    <row r="98" spans="1:18" s="59" customFormat="1" outlineLevel="2" x14ac:dyDescent="0.25">
      <c r="A98" s="449" t="s">
        <v>4773</v>
      </c>
      <c r="B98" s="449">
        <v>6121</v>
      </c>
      <c r="C98" s="449">
        <v>2960</v>
      </c>
      <c r="D98" s="449">
        <v>0</v>
      </c>
      <c r="E98" s="449">
        <v>0</v>
      </c>
      <c r="F98" s="449">
        <v>12</v>
      </c>
      <c r="G98" s="14" t="str">
        <f t="shared" si="22"/>
        <v>xxxx/6121/2960/0/0/12</v>
      </c>
      <c r="H98" s="447" t="s">
        <v>4774</v>
      </c>
      <c r="I98" s="73"/>
      <c r="J98" s="73"/>
      <c r="K98" s="72"/>
      <c r="L98" s="73"/>
      <c r="M98" s="73"/>
      <c r="N98" s="240"/>
      <c r="O98" s="240">
        <v>221345</v>
      </c>
      <c r="P98" s="240"/>
      <c r="Q98" s="165"/>
      <c r="R98" s="71"/>
    </row>
    <row r="99" spans="1:18" s="59" customFormat="1" outlineLevel="2" x14ac:dyDescent="0.25">
      <c r="A99" s="449">
        <v>2223</v>
      </c>
      <c r="B99" s="449">
        <v>6122</v>
      </c>
      <c r="C99" s="449">
        <v>2960</v>
      </c>
      <c r="D99" s="449">
        <v>30012</v>
      </c>
      <c r="E99" s="449">
        <v>0</v>
      </c>
      <c r="F99" s="449">
        <v>0</v>
      </c>
      <c r="G99" s="14" t="str">
        <f t="shared" si="22"/>
        <v>2223/6122/2960/30012/0/0</v>
      </c>
      <c r="H99" s="72" t="s">
        <v>5045</v>
      </c>
      <c r="I99" s="73"/>
      <c r="J99" s="73"/>
      <c r="K99" s="72"/>
      <c r="L99" s="73"/>
      <c r="M99" s="73"/>
      <c r="N99" s="240"/>
      <c r="O99" s="240"/>
      <c r="P99" s="466">
        <v>1000000</v>
      </c>
      <c r="Q99" s="466"/>
      <c r="R99" s="467" t="s">
        <v>4964</v>
      </c>
    </row>
    <row r="100" spans="1:18" s="59" customFormat="1" outlineLevel="2" x14ac:dyDescent="0.25">
      <c r="A100" s="384">
        <v>3631</v>
      </c>
      <c r="B100" s="384">
        <v>6121</v>
      </c>
      <c r="C100" s="384">
        <v>2960</v>
      </c>
      <c r="D100" s="157">
        <v>0</v>
      </c>
      <c r="E100" s="157">
        <v>0</v>
      </c>
      <c r="F100" s="157">
        <v>0</v>
      </c>
      <c r="G100" s="14" t="str">
        <f t="shared" si="22"/>
        <v>3631/6121/2960/0/0/0</v>
      </c>
      <c r="H100" s="71" t="s">
        <v>3818</v>
      </c>
      <c r="I100" s="72">
        <v>428445.21</v>
      </c>
      <c r="J100" s="72">
        <f>1145004.93+125840</f>
        <v>1270844.93</v>
      </c>
      <c r="K100" s="72">
        <v>1775721.7</v>
      </c>
      <c r="L100" s="73"/>
      <c r="M100" s="73"/>
      <c r="N100" s="240">
        <v>500000</v>
      </c>
      <c r="O100" s="240">
        <v>500000</v>
      </c>
      <c r="P100" s="466">
        <v>800000</v>
      </c>
      <c r="Q100" s="466"/>
      <c r="R100" s="467" t="s">
        <v>4968</v>
      </c>
    </row>
    <row r="101" spans="1:18" s="59" customFormat="1" outlineLevel="2" x14ac:dyDescent="0.25">
      <c r="A101" s="449">
        <v>3631</v>
      </c>
      <c r="B101" s="449">
        <v>6121</v>
      </c>
      <c r="C101" s="449">
        <v>2960</v>
      </c>
      <c r="D101" s="449">
        <v>25494</v>
      </c>
      <c r="E101" s="449">
        <v>0</v>
      </c>
      <c r="F101" s="449">
        <v>0</v>
      </c>
      <c r="G101" s="14" t="str">
        <f t="shared" si="22"/>
        <v>3631/6121/2960/25494/0/0</v>
      </c>
      <c r="H101" s="72" t="s">
        <v>4971</v>
      </c>
      <c r="I101" s="73"/>
      <c r="J101" s="73"/>
      <c r="K101" s="72"/>
      <c r="L101" s="73"/>
      <c r="M101" s="73"/>
      <c r="N101" s="240"/>
      <c r="O101" s="240"/>
      <c r="P101" s="448">
        <f>1720000+262600</f>
        <v>1982600</v>
      </c>
      <c r="Q101" s="448"/>
      <c r="R101" s="468" t="s">
        <v>4970</v>
      </c>
    </row>
    <row r="102" spans="1:18" s="59" customFormat="1" outlineLevel="2" x14ac:dyDescent="0.25">
      <c r="A102" s="449">
        <v>3631</v>
      </c>
      <c r="B102" s="449">
        <v>6121</v>
      </c>
      <c r="C102" s="449">
        <v>2960</v>
      </c>
      <c r="D102" s="449">
        <v>25495</v>
      </c>
      <c r="E102" s="449">
        <v>0</v>
      </c>
      <c r="F102" s="449">
        <v>0</v>
      </c>
      <c r="G102" s="14" t="str">
        <f t="shared" si="22"/>
        <v>3631/6121/2960/25495/0/0</v>
      </c>
      <c r="H102" s="72" t="s">
        <v>4972</v>
      </c>
      <c r="I102" s="73"/>
      <c r="J102" s="73"/>
      <c r="K102" s="72"/>
      <c r="L102" s="73"/>
      <c r="M102" s="73"/>
      <c r="N102" s="240"/>
      <c r="O102" s="240"/>
      <c r="P102" s="448">
        <f>505000+567900</f>
        <v>1072900</v>
      </c>
      <c r="Q102" s="448"/>
      <c r="R102" s="468" t="s">
        <v>4970</v>
      </c>
    </row>
    <row r="103" spans="1:18" s="59" customFormat="1" outlineLevel="2" x14ac:dyDescent="0.25">
      <c r="A103" s="449">
        <v>3631</v>
      </c>
      <c r="B103" s="449">
        <v>6121</v>
      </c>
      <c r="C103" s="449">
        <v>2960</v>
      </c>
      <c r="D103" s="449">
        <v>25493</v>
      </c>
      <c r="E103" s="449">
        <v>0</v>
      </c>
      <c r="F103" s="449">
        <v>0</v>
      </c>
      <c r="G103" s="14" t="str">
        <f t="shared" si="22"/>
        <v>3631/6121/2960/25493/0/0</v>
      </c>
      <c r="H103" s="72" t="s">
        <v>4969</v>
      </c>
      <c r="I103" s="73"/>
      <c r="J103" s="73"/>
      <c r="K103" s="72"/>
      <c r="L103" s="73"/>
      <c r="M103" s="73"/>
      <c r="N103" s="240"/>
      <c r="O103" s="240"/>
      <c r="P103" s="448">
        <f>1560000+153000</f>
        <v>1713000</v>
      </c>
      <c r="Q103" s="448"/>
      <c r="R103" s="468" t="s">
        <v>4970</v>
      </c>
    </row>
    <row r="104" spans="1:18" s="59" customFormat="1" outlineLevel="2" x14ac:dyDescent="0.25">
      <c r="A104" s="384" t="s">
        <v>4619</v>
      </c>
      <c r="B104" s="391" t="s">
        <v>4362</v>
      </c>
      <c r="C104" s="384">
        <v>2960</v>
      </c>
      <c r="D104" s="256">
        <v>0</v>
      </c>
      <c r="E104" s="157">
        <v>0</v>
      </c>
      <c r="F104" s="157">
        <v>0</v>
      </c>
      <c r="G104" s="14" t="str">
        <f t="shared" si="22"/>
        <v>10xx/6xxx/2960/0/0/0</v>
      </c>
      <c r="H104" s="71" t="s">
        <v>4358</v>
      </c>
      <c r="I104" s="73">
        <v>0</v>
      </c>
      <c r="J104" s="73"/>
      <c r="K104" s="72"/>
      <c r="L104" s="73"/>
      <c r="M104" s="73">
        <v>222379.85</v>
      </c>
      <c r="N104" s="240"/>
      <c r="O104" s="240"/>
      <c r="P104" s="240"/>
      <c r="Q104" s="165"/>
      <c r="R104" s="71"/>
    </row>
    <row r="105" spans="1:18" s="59" customFormat="1" outlineLevel="2" x14ac:dyDescent="0.25">
      <c r="A105" s="384" t="s">
        <v>4365</v>
      </c>
      <c r="B105" s="391" t="s">
        <v>4362</v>
      </c>
      <c r="C105" s="384">
        <v>2960</v>
      </c>
      <c r="D105" s="256">
        <v>0</v>
      </c>
      <c r="E105" s="157">
        <v>0</v>
      </c>
      <c r="F105" s="157">
        <v>0</v>
      </c>
      <c r="G105" s="14" t="str">
        <f t="shared" si="22"/>
        <v>37xx/6xxx/2960/0/0/0</v>
      </c>
      <c r="H105" s="71" t="s">
        <v>5126</v>
      </c>
      <c r="I105" s="73">
        <f>519295.5+195156</f>
        <v>714451.5</v>
      </c>
      <c r="J105" s="73">
        <f>234637+1325621.28</f>
        <v>1560258.28</v>
      </c>
      <c r="K105" s="72">
        <v>136231.9</v>
      </c>
      <c r="L105" s="73"/>
      <c r="M105" s="73">
        <v>318492</v>
      </c>
      <c r="N105" s="240"/>
      <c r="O105" s="240"/>
      <c r="P105" s="240"/>
      <c r="Q105" s="165"/>
      <c r="R105" s="71"/>
    </row>
    <row r="106" spans="1:18" s="59" customFormat="1" outlineLevel="1" x14ac:dyDescent="0.25">
      <c r="A106" s="519"/>
      <c r="B106" s="502"/>
      <c r="C106" s="520" t="s">
        <v>4681</v>
      </c>
      <c r="D106" s="502"/>
      <c r="E106" s="491"/>
      <c r="F106" s="491">
        <v>2960</v>
      </c>
      <c r="G106" s="14"/>
      <c r="H106" s="506" t="str">
        <f>VLOOKUP(F106,orJ_správce_telefon_mail!A:B,2,0)</f>
        <v>Odbor správy majetku - Ing. Maternová -  Technické oddělení - Ing. Štolbová</v>
      </c>
      <c r="I106" s="509">
        <f t="shared" ref="I106:Q106" si="23">SUBTOTAL(9,I92:I105)</f>
        <v>4855207.97</v>
      </c>
      <c r="J106" s="509">
        <f t="shared" si="23"/>
        <v>5315511.78</v>
      </c>
      <c r="K106" s="510">
        <f t="shared" si="23"/>
        <v>3390916.9999999995</v>
      </c>
      <c r="L106" s="509">
        <f t="shared" si="23"/>
        <v>2378199.94</v>
      </c>
      <c r="M106" s="509">
        <f t="shared" si="23"/>
        <v>1157280.5899999999</v>
      </c>
      <c r="N106" s="511">
        <f t="shared" si="23"/>
        <v>2300000</v>
      </c>
      <c r="O106" s="511">
        <f t="shared" si="23"/>
        <v>2521345</v>
      </c>
      <c r="P106" s="511">
        <f t="shared" si="23"/>
        <v>8568500</v>
      </c>
      <c r="Q106" s="512">
        <f t="shared" si="23"/>
        <v>0</v>
      </c>
      <c r="R106" s="513"/>
    </row>
    <row r="107" spans="1:18" s="59" customFormat="1" outlineLevel="2" x14ac:dyDescent="0.25">
      <c r="A107" s="384">
        <v>3639</v>
      </c>
      <c r="B107" s="384">
        <v>6129</v>
      </c>
      <c r="C107" s="384">
        <v>2997</v>
      </c>
      <c r="D107" s="157">
        <v>0</v>
      </c>
      <c r="E107" s="157">
        <v>0</v>
      </c>
      <c r="F107" s="157">
        <v>0</v>
      </c>
      <c r="G107" s="14" t="str">
        <f>CONCATENATE(A107,"/",B107,"/",C107,"/",D107,"/",E107,"/",F107)</f>
        <v>3639/6129/2997/0/0/0</v>
      </c>
      <c r="H107" s="71" t="s">
        <v>623</v>
      </c>
      <c r="I107" s="73">
        <v>0</v>
      </c>
      <c r="J107" s="73"/>
      <c r="K107" s="72"/>
      <c r="L107" s="73"/>
      <c r="M107" s="73"/>
      <c r="N107" s="240">
        <v>350000</v>
      </c>
      <c r="O107" s="240">
        <v>31545.07</v>
      </c>
      <c r="P107" s="448">
        <v>50000</v>
      </c>
      <c r="Q107" s="165"/>
      <c r="R107" s="71"/>
    </row>
    <row r="108" spans="1:18" s="59" customFormat="1" outlineLevel="2" x14ac:dyDescent="0.25">
      <c r="A108" s="384">
        <v>3639</v>
      </c>
      <c r="B108" s="384">
        <v>6121</v>
      </c>
      <c r="C108" s="384">
        <v>2997</v>
      </c>
      <c r="D108" s="157">
        <v>0</v>
      </c>
      <c r="E108" s="157">
        <v>0</v>
      </c>
      <c r="F108" s="157">
        <v>0</v>
      </c>
      <c r="G108" s="14" t="str">
        <f>CONCATENATE(A108,"/",B108,"/",C108,"/",D108,"/",E108,"/",F108)</f>
        <v>3639/6121/2997/0/0/0</v>
      </c>
      <c r="H108" s="71" t="s">
        <v>624</v>
      </c>
      <c r="I108" s="73">
        <v>0</v>
      </c>
      <c r="J108" s="73"/>
      <c r="K108" s="72">
        <v>5551.27</v>
      </c>
      <c r="L108" s="73">
        <v>5000</v>
      </c>
      <c r="M108" s="73"/>
      <c r="N108" s="240">
        <v>10000</v>
      </c>
      <c r="O108" s="240">
        <v>328454.93</v>
      </c>
      <c r="P108" s="448">
        <v>50000</v>
      </c>
      <c r="Q108" s="165"/>
      <c r="R108" s="71"/>
    </row>
    <row r="109" spans="1:18" s="59" customFormat="1" outlineLevel="2" x14ac:dyDescent="0.25">
      <c r="A109" s="384">
        <v>3639</v>
      </c>
      <c r="B109" s="384">
        <v>6130</v>
      </c>
      <c r="C109" s="384">
        <v>2997</v>
      </c>
      <c r="D109" s="157">
        <v>0</v>
      </c>
      <c r="E109" s="157">
        <v>0</v>
      </c>
      <c r="F109" s="157">
        <v>0</v>
      </c>
      <c r="G109" s="14" t="str">
        <f>CONCATENATE(A109,"/",B109,"/",C109,"/",D109,"/",E109,"/",F109)</f>
        <v>3639/6130/2997/0/0/0</v>
      </c>
      <c r="H109" s="71" t="s">
        <v>625</v>
      </c>
      <c r="I109" s="73">
        <f>5080458-300+20983+18723215</f>
        <v>23824356</v>
      </c>
      <c r="J109" s="73">
        <f>61400+79586</f>
        <v>140986</v>
      </c>
      <c r="K109" s="72">
        <v>198080</v>
      </c>
      <c r="L109" s="73">
        <v>52525.5</v>
      </c>
      <c r="M109" s="73">
        <v>5813150</v>
      </c>
      <c r="N109" s="240">
        <v>500000</v>
      </c>
      <c r="O109" s="240">
        <v>13826860</v>
      </c>
      <c r="P109" s="448">
        <v>291000</v>
      </c>
      <c r="Q109" s="165"/>
      <c r="R109" s="71"/>
    </row>
    <row r="110" spans="1:18" s="59" customFormat="1" ht="30" outlineLevel="1" x14ac:dyDescent="0.25">
      <c r="A110" s="519"/>
      <c r="B110" s="519"/>
      <c r="C110" s="520" t="s">
        <v>4682</v>
      </c>
      <c r="D110" s="491"/>
      <c r="E110" s="491"/>
      <c r="F110" s="491">
        <v>2997</v>
      </c>
      <c r="G110" s="14"/>
      <c r="H110" s="506" t="str">
        <f>VLOOKUP(F110,orJ_správce_telefon_mail!A:B,2,0)</f>
        <v>Odbor správy majetku - Ing. Maternová - Oddělení majetkové - Ing. Heřmanová</v>
      </c>
      <c r="I110" s="509">
        <f t="shared" ref="I110:Q110" si="24">SUBTOTAL(9,I107:I109)</f>
        <v>23824356</v>
      </c>
      <c r="J110" s="509">
        <f t="shared" si="24"/>
        <v>140986</v>
      </c>
      <c r="K110" s="510">
        <f t="shared" si="24"/>
        <v>203631.27</v>
      </c>
      <c r="L110" s="509">
        <f t="shared" si="24"/>
        <v>57525.5</v>
      </c>
      <c r="M110" s="509">
        <f t="shared" si="24"/>
        <v>5813150</v>
      </c>
      <c r="N110" s="511">
        <f t="shared" si="24"/>
        <v>860000</v>
      </c>
      <c r="O110" s="511">
        <f t="shared" si="24"/>
        <v>14186860</v>
      </c>
      <c r="P110" s="518">
        <f t="shared" si="24"/>
        <v>391000</v>
      </c>
      <c r="Q110" s="512">
        <f t="shared" si="24"/>
        <v>0</v>
      </c>
      <c r="R110" s="513"/>
    </row>
    <row r="111" spans="1:18" s="59" customFormat="1" outlineLevel="2" x14ac:dyDescent="0.25">
      <c r="A111" s="390" t="s">
        <v>4364</v>
      </c>
      <c r="B111" s="392" t="s">
        <v>4362</v>
      </c>
      <c r="C111" s="306">
        <v>2998</v>
      </c>
      <c r="D111" s="386">
        <v>0</v>
      </c>
      <c r="E111" s="390">
        <v>0</v>
      </c>
      <c r="F111" s="390">
        <v>0</v>
      </c>
      <c r="G111" s="14" t="str">
        <f>CONCATENATE(A111,"/",B111,"/",C111,"/",D111,"/",E111,"/",F111)</f>
        <v>36xx/6xxx/2998/0/0/0</v>
      </c>
      <c r="H111" s="393" t="s">
        <v>4442</v>
      </c>
      <c r="I111" s="282"/>
      <c r="J111" s="387"/>
      <c r="K111" s="387"/>
      <c r="L111" s="388"/>
      <c r="M111" s="388"/>
      <c r="N111" s="389">
        <v>0</v>
      </c>
      <c r="O111" s="389">
        <v>500000</v>
      </c>
      <c r="P111" s="389"/>
      <c r="Q111" s="394"/>
      <c r="R111" s="395"/>
    </row>
    <row r="112" spans="1:18" s="59" customFormat="1" ht="30" outlineLevel="1" x14ac:dyDescent="0.25">
      <c r="A112" s="492"/>
      <c r="B112" s="502"/>
      <c r="C112" s="508" t="s">
        <v>4683</v>
      </c>
      <c r="D112" s="502"/>
      <c r="E112" s="492"/>
      <c r="F112" s="492">
        <v>2998</v>
      </c>
      <c r="G112" s="14"/>
      <c r="H112" s="506" t="str">
        <f>VLOOKUP(F112,orJ_správce_telefon_mail!A:B,2,0)</f>
        <v>Fond na obnovu nemovitého majetku ve vlastnictví Města Kutná Hora - spadá pod OSM</v>
      </c>
      <c r="I112" s="517">
        <f t="shared" ref="I112:Q112" si="25">SUBTOTAL(9,I111:I111)</f>
        <v>0</v>
      </c>
      <c r="J112" s="510">
        <f t="shared" si="25"/>
        <v>0</v>
      </c>
      <c r="K112" s="510">
        <f t="shared" si="25"/>
        <v>0</v>
      </c>
      <c r="L112" s="509">
        <f t="shared" si="25"/>
        <v>0</v>
      </c>
      <c r="M112" s="509">
        <f t="shared" si="25"/>
        <v>0</v>
      </c>
      <c r="N112" s="511">
        <f t="shared" si="25"/>
        <v>0</v>
      </c>
      <c r="O112" s="511">
        <f t="shared" si="25"/>
        <v>500000</v>
      </c>
      <c r="P112" s="511">
        <f t="shared" si="25"/>
        <v>0</v>
      </c>
      <c r="Q112" s="512">
        <f t="shared" si="25"/>
        <v>0</v>
      </c>
      <c r="R112" s="513"/>
    </row>
    <row r="113" spans="1:18" s="59" customFormat="1" outlineLevel="2" x14ac:dyDescent="0.25">
      <c r="A113" s="396">
        <v>3634</v>
      </c>
      <c r="B113" s="396">
        <v>6122</v>
      </c>
      <c r="C113" s="197">
        <v>2999</v>
      </c>
      <c r="D113" s="396">
        <v>53320</v>
      </c>
      <c r="E113" s="197">
        <v>0</v>
      </c>
      <c r="F113" s="197">
        <v>0</v>
      </c>
      <c r="G113" s="14" t="str">
        <f>CONCATENATE(A113,"/",B113,"/",C113,"/",D113,"/",E113,"/",F113)</f>
        <v>3634/6122/2999/53320/0/0</v>
      </c>
      <c r="H113" s="395" t="s">
        <v>4420</v>
      </c>
      <c r="I113" s="388"/>
      <c r="J113" s="388"/>
      <c r="K113" s="387"/>
      <c r="L113" s="388"/>
      <c r="M113" s="388">
        <v>653724.28</v>
      </c>
      <c r="N113" s="389">
        <v>5500000</v>
      </c>
      <c r="O113" s="389">
        <v>5500000</v>
      </c>
      <c r="P113" s="389"/>
      <c r="Q113" s="394"/>
      <c r="R113" s="395"/>
    </row>
    <row r="114" spans="1:18" s="66" customFormat="1" outlineLevel="2" x14ac:dyDescent="0.25">
      <c r="A114" s="197">
        <v>3634</v>
      </c>
      <c r="B114" s="197">
        <v>6121</v>
      </c>
      <c r="C114" s="197">
        <v>2999</v>
      </c>
      <c r="D114" s="197">
        <v>53320</v>
      </c>
      <c r="E114" s="197">
        <v>0</v>
      </c>
      <c r="F114" s="197">
        <v>0</v>
      </c>
      <c r="G114" s="14" t="str">
        <f>CONCATENATE(A114,"/",B114,"/",C114,"/",D114,"/",E114,"/",F114)</f>
        <v>3634/6121/2999/53320/0/0</v>
      </c>
      <c r="H114" s="397" t="s">
        <v>4430</v>
      </c>
      <c r="I114" s="388">
        <v>129470</v>
      </c>
      <c r="J114" s="388">
        <f>31674416+1125300</f>
        <v>32799716</v>
      </c>
      <c r="K114" s="387">
        <v>1168136.42</v>
      </c>
      <c r="L114" s="388">
        <v>2410333.02</v>
      </c>
      <c r="M114" s="388">
        <v>48407</v>
      </c>
      <c r="N114" s="398">
        <v>3028500</v>
      </c>
      <c r="O114" s="398">
        <v>3028500</v>
      </c>
      <c r="P114" s="398"/>
      <c r="Q114" s="68"/>
      <c r="R114" s="397"/>
    </row>
    <row r="115" spans="1:18" s="66" customFormat="1" outlineLevel="1" x14ac:dyDescent="0.25">
      <c r="A115" s="521"/>
      <c r="B115" s="521"/>
      <c r="C115" s="522" t="s">
        <v>4684</v>
      </c>
      <c r="D115" s="521"/>
      <c r="E115" s="521"/>
      <c r="F115" s="521">
        <v>2999</v>
      </c>
      <c r="G115" s="484"/>
      <c r="H115" s="506" t="str">
        <f>VLOOKUP(F115,orJ_správce_telefon_mail!A:B,2,0)</f>
        <v>Fond rozvoje tepelného hospodářství - spadá pod OSM-TO</v>
      </c>
      <c r="I115" s="524">
        <f t="shared" ref="I115:Q115" si="26">SUBTOTAL(9,I113:I114)</f>
        <v>129470</v>
      </c>
      <c r="J115" s="524">
        <f t="shared" si="26"/>
        <v>32799716</v>
      </c>
      <c r="K115" s="525">
        <f t="shared" si="26"/>
        <v>1168136.42</v>
      </c>
      <c r="L115" s="524">
        <f t="shared" si="26"/>
        <v>2410333.02</v>
      </c>
      <c r="M115" s="524">
        <f t="shared" si="26"/>
        <v>702131.28</v>
      </c>
      <c r="N115" s="526">
        <f t="shared" si="26"/>
        <v>8528500</v>
      </c>
      <c r="O115" s="526">
        <f t="shared" si="26"/>
        <v>8528500</v>
      </c>
      <c r="P115" s="526">
        <f t="shared" si="26"/>
        <v>0</v>
      </c>
      <c r="Q115" s="527">
        <f t="shared" si="26"/>
        <v>0</v>
      </c>
      <c r="R115" s="523"/>
    </row>
    <row r="116" spans="1:18" s="66" customFormat="1" x14ac:dyDescent="0.25">
      <c r="A116" s="483"/>
      <c r="B116" s="483"/>
      <c r="C116" s="490" t="s">
        <v>4685</v>
      </c>
      <c r="D116" s="483"/>
      <c r="E116" s="483"/>
      <c r="F116" s="483"/>
      <c r="G116" s="484"/>
      <c r="H116" s="485"/>
      <c r="I116" s="486">
        <f t="shared" ref="I116:Q116" si="27">SUBTOTAL(9,I3:I114)</f>
        <v>164474982.09999999</v>
      </c>
      <c r="J116" s="486">
        <f t="shared" si="27"/>
        <v>185035056.47</v>
      </c>
      <c r="K116" s="487">
        <f t="shared" si="27"/>
        <v>154269637.38</v>
      </c>
      <c r="L116" s="486">
        <f t="shared" si="27"/>
        <v>141288394.21000001</v>
      </c>
      <c r="M116" s="486">
        <f t="shared" si="27"/>
        <v>178714831.64000002</v>
      </c>
      <c r="N116" s="488">
        <f t="shared" si="27"/>
        <v>63504720</v>
      </c>
      <c r="O116" s="488">
        <f t="shared" si="27"/>
        <v>142080065.38999999</v>
      </c>
      <c r="P116" s="488">
        <f t="shared" si="27"/>
        <v>213523192</v>
      </c>
      <c r="Q116" s="489">
        <f t="shared" si="27"/>
        <v>88450000</v>
      </c>
      <c r="R116" s="485"/>
    </row>
    <row r="117" spans="1:18" s="61" customFormat="1" x14ac:dyDescent="0.25">
      <c r="A117" s="291"/>
      <c r="B117" s="291"/>
      <c r="C117" s="292"/>
      <c r="D117" s="292"/>
      <c r="E117" s="291"/>
      <c r="F117" s="291"/>
      <c r="G117" s="291"/>
      <c r="H117" s="291" t="s">
        <v>3910</v>
      </c>
      <c r="I117" s="293">
        <v>164474982.09999999</v>
      </c>
      <c r="J117" s="293">
        <v>185035056.47000003</v>
      </c>
      <c r="K117" s="293">
        <v>154269637.37999997</v>
      </c>
      <c r="L117" s="293">
        <v>141288394.21000001</v>
      </c>
      <c r="M117" s="293">
        <v>178714831.63999999</v>
      </c>
      <c r="N117" s="294">
        <v>63504720</v>
      </c>
      <c r="O117" s="294">
        <v>142080065.38999999</v>
      </c>
      <c r="P117" s="294"/>
      <c r="Q117" s="295"/>
      <c r="R117" s="296"/>
    </row>
    <row r="118" spans="1:18" x14ac:dyDescent="0.25">
      <c r="A118" s="273"/>
      <c r="B118" s="273"/>
      <c r="C118" s="274"/>
      <c r="D118" s="274"/>
      <c r="E118" s="273"/>
      <c r="F118" s="273"/>
      <c r="H118" s="275"/>
      <c r="I118" s="276">
        <f>I116-I117</f>
        <v>0</v>
      </c>
      <c r="J118" s="276">
        <f t="shared" ref="J118:O118" si="28">J116-J117</f>
        <v>0</v>
      </c>
      <c r="K118" s="276">
        <f t="shared" si="28"/>
        <v>0</v>
      </c>
      <c r="L118" s="276">
        <f t="shared" si="28"/>
        <v>0</v>
      </c>
      <c r="M118" s="276">
        <f t="shared" si="28"/>
        <v>0</v>
      </c>
      <c r="N118" s="276">
        <f t="shared" si="28"/>
        <v>0</v>
      </c>
      <c r="O118" s="276">
        <f t="shared" si="28"/>
        <v>0</v>
      </c>
      <c r="P118" s="276"/>
      <c r="Q118" s="276"/>
      <c r="R118" s="275"/>
    </row>
    <row r="119" spans="1:18" x14ac:dyDescent="0.25">
      <c r="O119" s="80">
        <f>N116-P116</f>
        <v>-150018472</v>
      </c>
    </row>
    <row r="120" spans="1:18" x14ac:dyDescent="0.25">
      <c r="N120" s="80"/>
      <c r="O120" s="80"/>
      <c r="P120" s="80"/>
      <c r="Q120" s="80"/>
    </row>
    <row r="121" spans="1:18" x14ac:dyDescent="0.25">
      <c r="N121" s="80"/>
      <c r="O121" s="80"/>
      <c r="P121" s="80"/>
    </row>
  </sheetData>
  <sortState ref="A3:R100">
    <sortCondition ref="C3:C100"/>
    <sortCondition ref="H3:H100"/>
  </sortState>
  <conditionalFormatting sqref="A75:A77 H75:I76 C75:C77 E75:F77 J75:L75 I77">
    <cfRule type="containsText" priority="18" operator="containsText" text="celkem">
      <formula>NOT(ISERROR(SEARCH("celkem",A75)))</formula>
    </cfRule>
  </conditionalFormatting>
  <conditionalFormatting sqref="G33">
    <cfRule type="duplicateValues" dxfId="11" priority="6"/>
  </conditionalFormatting>
  <conditionalFormatting sqref="G37">
    <cfRule type="duplicateValues" dxfId="10" priority="5"/>
  </conditionalFormatting>
  <conditionalFormatting sqref="G117:G1048576 G1:G2">
    <cfRule type="duplicateValues" dxfId="9" priority="2500"/>
    <cfRule type="duplicateValues" dxfId="8" priority="2501"/>
    <cfRule type="duplicateValues" dxfId="7" priority="2502"/>
    <cfRule type="duplicateValues" dxfId="6" priority="2503"/>
    <cfRule type="duplicateValues" dxfId="5" priority="2504"/>
  </conditionalFormatting>
  <conditionalFormatting sqref="G63">
    <cfRule type="duplicateValues" dxfId="4" priority="4"/>
  </conditionalFormatting>
  <conditionalFormatting sqref="G64">
    <cfRule type="duplicateValues" dxfId="3" priority="3"/>
  </conditionalFormatting>
  <conditionalFormatting sqref="G52:G53">
    <cfRule type="duplicateValues" dxfId="2" priority="2545"/>
  </conditionalFormatting>
  <conditionalFormatting sqref="G65:G116 G3:G32 G34:G36 G38:G51 G62 G54:G60">
    <cfRule type="duplicateValues" dxfId="1" priority="2551"/>
  </conditionalFormatting>
  <conditionalFormatting sqref="G61">
    <cfRule type="duplicateValues" dxfId="0" priority="1"/>
  </conditionalFormatting>
  <printOptions headings="1"/>
  <pageMargins left="0.70866141732283472" right="0.70866141732283472" top="0.78740157480314965" bottom="0.78740157480314965" header="0.31496062992125984" footer="0.31496062992125984"/>
  <pageSetup paperSize="9" scale="51" fitToHeight="999" orientation="landscape" r:id="rId1"/>
  <headerFooter>
    <oddHeader>&amp;LINVESTICE</oddHeader>
    <oddFooter>&amp;A&amp;RStránka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view="pageBreakPreview" zoomScale="80" zoomScaleNormal="100" zoomScaleSheetLayoutView="80" workbookViewId="0">
      <pane ySplit="3" topLeftCell="A7" activePane="bottomLeft" state="frozen"/>
      <selection activeCell="K180" sqref="K179:K180"/>
      <selection pane="bottomLeft" activeCell="J50" sqref="J50"/>
    </sheetView>
  </sheetViews>
  <sheetFormatPr defaultColWidth="18" defaultRowHeight="15" x14ac:dyDescent="0.25"/>
  <cols>
    <col min="1" max="1" width="11.140625" customWidth="1"/>
    <col min="2" max="2" width="63.140625" bestFit="1" customWidth="1"/>
    <col min="3" max="6" width="18" hidden="1" customWidth="1"/>
    <col min="7" max="9" width="18" customWidth="1"/>
  </cols>
  <sheetData>
    <row r="1" spans="1:18" x14ac:dyDescent="0.25">
      <c r="B1" s="81" t="s">
        <v>626</v>
      </c>
      <c r="C1" s="81"/>
      <c r="D1" s="81"/>
      <c r="E1" s="81"/>
      <c r="F1" s="176"/>
      <c r="G1" s="81"/>
      <c r="H1" s="81"/>
      <c r="I1" s="81"/>
      <c r="J1" s="81"/>
      <c r="K1" s="82"/>
      <c r="L1" s="83"/>
    </row>
    <row r="2" spans="1:18" x14ac:dyDescent="0.25">
      <c r="B2" s="84"/>
      <c r="C2" s="85" t="s">
        <v>627</v>
      </c>
      <c r="D2" s="85" t="s">
        <v>627</v>
      </c>
      <c r="E2" s="170" t="s">
        <v>627</v>
      </c>
      <c r="F2" s="226" t="s">
        <v>627</v>
      </c>
      <c r="G2" s="85" t="s">
        <v>627</v>
      </c>
      <c r="H2" s="239" t="s">
        <v>4366</v>
      </c>
      <c r="I2" s="401" t="s">
        <v>807</v>
      </c>
      <c r="J2" s="401" t="s">
        <v>4642</v>
      </c>
      <c r="K2" s="567" t="s">
        <v>628</v>
      </c>
      <c r="L2" s="567"/>
    </row>
    <row r="3" spans="1:18" x14ac:dyDescent="0.25">
      <c r="B3" s="86" t="s">
        <v>629</v>
      </c>
      <c r="C3" s="87">
        <v>2018</v>
      </c>
      <c r="D3" s="87">
        <v>2019</v>
      </c>
      <c r="E3" s="87">
        <v>2020</v>
      </c>
      <c r="F3" s="87">
        <v>2021</v>
      </c>
      <c r="G3" s="87">
        <v>2022</v>
      </c>
      <c r="H3" s="87">
        <v>2023</v>
      </c>
      <c r="I3" s="402" t="s">
        <v>4697</v>
      </c>
      <c r="J3" s="87">
        <v>2024</v>
      </c>
      <c r="K3" s="86" t="s">
        <v>630</v>
      </c>
      <c r="L3" s="88" t="s">
        <v>631</v>
      </c>
    </row>
    <row r="4" spans="1:18" x14ac:dyDescent="0.25">
      <c r="B4" s="89" t="s">
        <v>632</v>
      </c>
      <c r="C4" s="89"/>
      <c r="D4" s="89"/>
      <c r="E4" s="89"/>
      <c r="F4" s="89"/>
      <c r="G4" s="89"/>
      <c r="H4" s="89"/>
      <c r="I4" s="89"/>
      <c r="J4" s="89"/>
      <c r="K4" s="90">
        <v>2200</v>
      </c>
      <c r="L4" s="89"/>
    </row>
    <row r="5" spans="1:18" s="3" customFormat="1" x14ac:dyDescent="0.25">
      <c r="B5" s="91"/>
      <c r="C5" s="91"/>
      <c r="D5" s="91"/>
      <c r="E5" s="91"/>
      <c r="F5" s="91"/>
      <c r="G5" s="92"/>
      <c r="H5" s="305"/>
      <c r="I5" s="305"/>
      <c r="J5" s="305"/>
      <c r="K5" s="93"/>
      <c r="L5" s="61"/>
    </row>
    <row r="6" spans="1:18" x14ac:dyDescent="0.25">
      <c r="B6" s="371" t="s">
        <v>633</v>
      </c>
      <c r="C6" s="372"/>
      <c r="D6" s="372"/>
      <c r="E6" s="372"/>
      <c r="F6" s="372"/>
      <c r="G6" s="297"/>
      <c r="H6" s="297"/>
      <c r="I6" s="297"/>
      <c r="J6" s="297"/>
      <c r="K6" s="94"/>
      <c r="L6" s="95">
        <v>8905</v>
      </c>
    </row>
    <row r="7" spans="1:18" x14ac:dyDescent="0.25">
      <c r="B7" s="371" t="s">
        <v>634</v>
      </c>
      <c r="C7" s="372">
        <v>-4133312</v>
      </c>
      <c r="D7" s="372"/>
      <c r="E7" s="372"/>
      <c r="F7" s="372"/>
      <c r="G7" s="297"/>
      <c r="H7" s="297"/>
      <c r="I7" s="297"/>
      <c r="J7" s="297"/>
      <c r="K7" s="94"/>
      <c r="L7" s="95">
        <v>8124</v>
      </c>
    </row>
    <row r="8" spans="1:18" x14ac:dyDescent="0.25">
      <c r="A8" s="96">
        <v>999501</v>
      </c>
      <c r="B8" s="373" t="s">
        <v>635</v>
      </c>
      <c r="C8" s="374">
        <v>-851639.1</v>
      </c>
      <c r="D8" s="374">
        <v>-873088.5</v>
      </c>
      <c r="E8" s="374">
        <v>-892533.32</v>
      </c>
      <c r="F8" s="374">
        <v>-1544709.32</v>
      </c>
      <c r="G8" s="298">
        <v>0</v>
      </c>
      <c r="H8" s="298">
        <v>0</v>
      </c>
      <c r="I8" s="298">
        <v>0</v>
      </c>
      <c r="J8" s="300">
        <v>0</v>
      </c>
      <c r="K8" s="94"/>
      <c r="L8" s="95">
        <v>8124</v>
      </c>
      <c r="M8" s="2"/>
    </row>
    <row r="9" spans="1:18" x14ac:dyDescent="0.25">
      <c r="A9" s="96">
        <v>999502</v>
      </c>
      <c r="B9" s="373" t="s">
        <v>636</v>
      </c>
      <c r="C9" s="374">
        <v>-1242322.5</v>
      </c>
      <c r="D9" s="374">
        <v>-1267271.1000000001</v>
      </c>
      <c r="E9" s="374">
        <v>-1292720.3999999999</v>
      </c>
      <c r="F9" s="374">
        <v>-1308343.26</v>
      </c>
      <c r="G9" s="298">
        <v>-904127.16</v>
      </c>
      <c r="H9" s="298">
        <v>0</v>
      </c>
      <c r="I9" s="298">
        <v>0</v>
      </c>
      <c r="J9" s="300">
        <v>0</v>
      </c>
      <c r="K9" s="94"/>
      <c r="L9" s="95">
        <v>8124</v>
      </c>
      <c r="M9" s="2"/>
    </row>
    <row r="10" spans="1:18" x14ac:dyDescent="0.25">
      <c r="A10" s="96">
        <v>999104</v>
      </c>
      <c r="B10" s="373" t="s">
        <v>637</v>
      </c>
      <c r="C10" s="375">
        <v>-1093695.18</v>
      </c>
      <c r="D10" s="375">
        <v>-1103605.1599999999</v>
      </c>
      <c r="E10" s="375">
        <v>-1113544.6399999999</v>
      </c>
      <c r="F10" s="375">
        <v>-1400677.18</v>
      </c>
      <c r="G10" s="299">
        <v>0</v>
      </c>
      <c r="H10" s="299">
        <v>0</v>
      </c>
      <c r="I10" s="299">
        <v>0</v>
      </c>
      <c r="J10" s="300">
        <v>0</v>
      </c>
      <c r="K10" s="94"/>
      <c r="L10" s="95">
        <v>8124</v>
      </c>
    </row>
    <row r="11" spans="1:18" x14ac:dyDescent="0.25">
      <c r="A11" s="96">
        <v>999116</v>
      </c>
      <c r="B11" s="371" t="s">
        <v>638</v>
      </c>
      <c r="C11" s="375">
        <v>-5100000</v>
      </c>
      <c r="D11" s="375">
        <v>-5100000</v>
      </c>
      <c r="E11" s="375">
        <v>0</v>
      </c>
      <c r="F11" s="375"/>
      <c r="G11" s="299">
        <v>0</v>
      </c>
      <c r="H11" s="299">
        <v>0</v>
      </c>
      <c r="I11" s="299">
        <v>0</v>
      </c>
      <c r="J11" s="300">
        <v>0</v>
      </c>
      <c r="K11" s="97"/>
      <c r="L11" s="95">
        <v>8124</v>
      </c>
    </row>
    <row r="12" spans="1:18" x14ac:dyDescent="0.25">
      <c r="A12" s="96">
        <v>999023</v>
      </c>
      <c r="B12" s="371" t="s">
        <v>639</v>
      </c>
      <c r="C12" s="376">
        <v>-15666840</v>
      </c>
      <c r="D12" s="300">
        <v>-15666648</v>
      </c>
      <c r="E12" s="300">
        <v>-15666648</v>
      </c>
      <c r="F12" s="377">
        <v>-15666648</v>
      </c>
      <c r="G12" s="300">
        <v>-15666648</v>
      </c>
      <c r="H12" s="300">
        <v>-15666570</v>
      </c>
      <c r="I12" s="300">
        <v>-15666570</v>
      </c>
      <c r="J12" s="300">
        <v>0</v>
      </c>
      <c r="K12" s="94"/>
      <c r="L12" s="95">
        <v>8124</v>
      </c>
    </row>
    <row r="13" spans="1:18" x14ac:dyDescent="0.25">
      <c r="A13" s="96">
        <v>999025</v>
      </c>
      <c r="B13" s="371" t="s">
        <v>640</v>
      </c>
      <c r="C13" s="376">
        <v>0</v>
      </c>
      <c r="D13" s="376">
        <v>0</v>
      </c>
      <c r="E13" s="376">
        <v>-10000008</v>
      </c>
      <c r="F13" s="300">
        <v>-10000008</v>
      </c>
      <c r="G13" s="300">
        <v>-10000008</v>
      </c>
      <c r="H13" s="300">
        <v>-10000010</v>
      </c>
      <c r="I13" s="300">
        <v>-10000010</v>
      </c>
      <c r="J13" s="300">
        <v>-10000100</v>
      </c>
      <c r="K13" s="94"/>
      <c r="L13" s="95">
        <v>8124</v>
      </c>
    </row>
    <row r="14" spans="1:18" x14ac:dyDescent="0.25">
      <c r="A14" s="96"/>
      <c r="B14" s="371" t="s">
        <v>641</v>
      </c>
      <c r="C14" s="300">
        <v>40135205.030000001</v>
      </c>
      <c r="D14" s="300">
        <v>0</v>
      </c>
      <c r="E14" s="300">
        <v>0</v>
      </c>
      <c r="F14" s="300">
        <v>0</v>
      </c>
      <c r="G14" s="300">
        <v>0</v>
      </c>
      <c r="H14" s="300">
        <v>0</v>
      </c>
      <c r="I14" s="300">
        <v>0</v>
      </c>
      <c r="J14" s="300"/>
      <c r="K14" s="94"/>
      <c r="L14" s="95">
        <v>8123</v>
      </c>
    </row>
    <row r="15" spans="1:18" x14ac:dyDescent="0.25">
      <c r="A15" s="96"/>
      <c r="B15" s="378" t="s">
        <v>642</v>
      </c>
      <c r="C15" s="300">
        <v>45797721.609999999</v>
      </c>
      <c r="D15" s="300">
        <v>92016984.390000001</v>
      </c>
      <c r="E15" s="300">
        <v>0</v>
      </c>
      <c r="F15" s="300">
        <v>0</v>
      </c>
      <c r="G15" s="300">
        <v>0</v>
      </c>
      <c r="H15" s="300">
        <v>0</v>
      </c>
      <c r="I15" s="300">
        <v>0</v>
      </c>
      <c r="J15" s="300"/>
      <c r="K15" s="94"/>
      <c r="L15" s="95">
        <v>8123</v>
      </c>
      <c r="M15" s="568"/>
      <c r="N15" s="569"/>
      <c r="O15" s="569"/>
      <c r="P15" s="569"/>
      <c r="Q15" s="569"/>
      <c r="R15" s="569"/>
    </row>
    <row r="16" spans="1:18" x14ac:dyDescent="0.25">
      <c r="B16" s="371" t="s">
        <v>643</v>
      </c>
      <c r="C16" s="300">
        <v>2126612.2400000002</v>
      </c>
      <c r="D16" s="300">
        <f>1539528.72+10539.37</f>
        <v>1550068.09</v>
      </c>
      <c r="E16" s="300">
        <v>-2075830.48</v>
      </c>
      <c r="F16" s="300">
        <v>-51042.21</v>
      </c>
      <c r="G16" s="300">
        <v>-277346.11</v>
      </c>
      <c r="H16" s="300">
        <v>0</v>
      </c>
      <c r="I16" s="300">
        <v>0</v>
      </c>
      <c r="J16" s="300"/>
      <c r="K16" s="94"/>
      <c r="L16" s="98">
        <v>8901</v>
      </c>
    </row>
    <row r="17" spans="1:13" x14ac:dyDescent="0.25">
      <c r="B17" s="371" t="s">
        <v>644</v>
      </c>
      <c r="C17" s="300">
        <v>0</v>
      </c>
      <c r="D17" s="300">
        <v>0</v>
      </c>
      <c r="E17" s="300">
        <v>-25000000</v>
      </c>
      <c r="F17" s="300">
        <v>-40000000</v>
      </c>
      <c r="G17" s="300">
        <v>-1707109907.1500001</v>
      </c>
      <c r="H17" s="300">
        <v>0</v>
      </c>
      <c r="I17" s="300">
        <v>0</v>
      </c>
      <c r="J17" s="300"/>
      <c r="K17" s="94"/>
      <c r="L17" s="98">
        <v>8118</v>
      </c>
    </row>
    <row r="18" spans="1:13" x14ac:dyDescent="0.25">
      <c r="B18" s="371" t="s">
        <v>645</v>
      </c>
      <c r="C18" s="300">
        <v>2112852.0299999998</v>
      </c>
      <c r="D18" s="300">
        <v>0</v>
      </c>
      <c r="E18" s="300">
        <v>20000000</v>
      </c>
      <c r="F18" s="300">
        <v>0</v>
      </c>
      <c r="G18" s="300">
        <v>1492144883.75</v>
      </c>
      <c r="H18" s="300">
        <v>0</v>
      </c>
      <c r="I18" s="300">
        <v>0</v>
      </c>
      <c r="J18" s="300"/>
      <c r="K18" s="94"/>
      <c r="L18" s="98">
        <v>8117</v>
      </c>
    </row>
    <row r="19" spans="1:13" x14ac:dyDescent="0.25">
      <c r="A19">
        <v>20</v>
      </c>
      <c r="B19" s="379" t="s">
        <v>4522</v>
      </c>
      <c r="C19" s="301">
        <v>0</v>
      </c>
      <c r="D19" s="301">
        <v>0</v>
      </c>
      <c r="E19" s="301">
        <v>1056951.1399999999</v>
      </c>
      <c r="F19" s="301">
        <v>-3449729.9</v>
      </c>
      <c r="G19" s="301">
        <v>6815007.7400000002</v>
      </c>
      <c r="H19" s="301">
        <v>4586000</v>
      </c>
      <c r="I19" s="301">
        <v>4586000</v>
      </c>
      <c r="J19" s="301">
        <v>-7391000</v>
      </c>
      <c r="K19" s="277">
        <v>2999</v>
      </c>
      <c r="L19" s="278">
        <v>8125</v>
      </c>
      <c r="M19" s="2" t="s">
        <v>4445</v>
      </c>
    </row>
    <row r="20" spans="1:13" x14ac:dyDescent="0.25">
      <c r="A20">
        <v>22</v>
      </c>
      <c r="B20" s="379" t="s">
        <v>4523</v>
      </c>
      <c r="C20" s="301">
        <v>0</v>
      </c>
      <c r="D20" s="301">
        <v>0</v>
      </c>
      <c r="E20" s="301">
        <v>218800.8</v>
      </c>
      <c r="F20" s="301">
        <v>329713.69</v>
      </c>
      <c r="G20" s="301">
        <v>-248209.5</v>
      </c>
      <c r="H20" s="301">
        <v>200000</v>
      </c>
      <c r="I20" s="301">
        <v>200000</v>
      </c>
      <c r="J20" s="301"/>
      <c r="K20" s="277">
        <v>2010</v>
      </c>
      <c r="L20" s="278">
        <v>8125</v>
      </c>
      <c r="M20" s="2"/>
    </row>
    <row r="21" spans="1:13" x14ac:dyDescent="0.25">
      <c r="A21">
        <v>23</v>
      </c>
      <c r="B21" s="379" t="s">
        <v>691</v>
      </c>
      <c r="C21" s="301">
        <v>0</v>
      </c>
      <c r="D21" s="301">
        <v>0</v>
      </c>
      <c r="E21" s="301">
        <v>477682</v>
      </c>
      <c r="F21" s="301">
        <v>277251.61</v>
      </c>
      <c r="G21" s="301">
        <v>7021715.8099999987</v>
      </c>
      <c r="H21" s="301">
        <v>823500</v>
      </c>
      <c r="I21" s="301">
        <v>833500</v>
      </c>
      <c r="J21" s="301">
        <f>-1416500+2555000</f>
        <v>1138500</v>
      </c>
      <c r="K21" s="277">
        <v>2699</v>
      </c>
      <c r="L21" s="278">
        <v>8125</v>
      </c>
      <c r="M21" s="2"/>
    </row>
    <row r="22" spans="1:13" x14ac:dyDescent="0.25">
      <c r="A22">
        <v>24</v>
      </c>
      <c r="B22" s="379" t="s">
        <v>4524</v>
      </c>
      <c r="C22" s="301">
        <v>0</v>
      </c>
      <c r="D22" s="301">
        <v>0</v>
      </c>
      <c r="E22" s="301">
        <v>0</v>
      </c>
      <c r="F22" s="301">
        <v>0</v>
      </c>
      <c r="G22" s="301">
        <v>0</v>
      </c>
      <c r="H22" s="301">
        <f>-7726830+2000000</f>
        <v>-5726830</v>
      </c>
      <c r="I22" s="301">
        <v>-2725930</v>
      </c>
      <c r="J22" s="301">
        <v>-8861460</v>
      </c>
      <c r="K22" s="277">
        <v>2998</v>
      </c>
      <c r="L22" s="278">
        <v>8125</v>
      </c>
      <c r="M22" s="2" t="s">
        <v>4648</v>
      </c>
    </row>
    <row r="23" spans="1:13" x14ac:dyDescent="0.25">
      <c r="A23">
        <v>25</v>
      </c>
      <c r="B23" s="379" t="s">
        <v>4441</v>
      </c>
      <c r="C23" s="301">
        <v>0</v>
      </c>
      <c r="D23" s="301">
        <v>0</v>
      </c>
      <c r="E23" s="301">
        <v>0</v>
      </c>
      <c r="F23" s="301">
        <v>0</v>
      </c>
      <c r="G23" s="301">
        <v>40</v>
      </c>
      <c r="H23" s="301">
        <v>0</v>
      </c>
      <c r="I23" s="301"/>
      <c r="J23" s="301"/>
      <c r="K23" s="277">
        <v>2698</v>
      </c>
      <c r="L23" s="278">
        <v>8125</v>
      </c>
      <c r="M23" s="2"/>
    </row>
    <row r="24" spans="1:13" x14ac:dyDescent="0.25">
      <c r="A24">
        <v>26</v>
      </c>
      <c r="B24" s="379" t="s">
        <v>4525</v>
      </c>
      <c r="C24" s="301">
        <v>0</v>
      </c>
      <c r="D24" s="301">
        <v>0</v>
      </c>
      <c r="E24" s="301"/>
      <c r="F24" s="301">
        <v>-100103.52</v>
      </c>
      <c r="G24" s="301">
        <v>786706.81</v>
      </c>
      <c r="H24" s="301">
        <v>0</v>
      </c>
      <c r="I24" s="301">
        <v>326144.46999999997</v>
      </c>
      <c r="J24" s="301"/>
      <c r="K24" s="277">
        <v>2799</v>
      </c>
      <c r="L24" s="278">
        <v>8125</v>
      </c>
      <c r="M24" s="2"/>
    </row>
    <row r="25" spans="1:13" x14ac:dyDescent="0.25">
      <c r="A25">
        <v>28</v>
      </c>
      <c r="B25" s="379" t="s">
        <v>4526</v>
      </c>
      <c r="C25" s="301">
        <v>0</v>
      </c>
      <c r="D25" s="301">
        <v>0</v>
      </c>
      <c r="E25" s="301">
        <v>-917682</v>
      </c>
      <c r="F25" s="301">
        <v>537360</v>
      </c>
      <c r="G25" s="301">
        <v>76850</v>
      </c>
      <c r="H25" s="301">
        <v>0</v>
      </c>
      <c r="I25" s="301">
        <v>303472</v>
      </c>
      <c r="J25" s="301"/>
      <c r="K25" s="277">
        <v>2899</v>
      </c>
      <c r="L25" s="278">
        <v>8125</v>
      </c>
    </row>
    <row r="26" spans="1:13" x14ac:dyDescent="0.25">
      <c r="A26" s="24"/>
      <c r="B26" s="380" t="s">
        <v>5110</v>
      </c>
      <c r="C26" s="300">
        <v>-12531559.74</v>
      </c>
      <c r="D26" s="300">
        <f>16700.23-75599224.49-12882.87</f>
        <v>-75595407.129999995</v>
      </c>
      <c r="E26" s="300">
        <v>28000699.73</v>
      </c>
      <c r="F26" s="300">
        <f>-40719399.05-7875.21+36.3+32984.9</f>
        <v>-40694253.060000002</v>
      </c>
      <c r="G26" s="302">
        <f>109278115.57-4707.84-61299.09-163900.14</f>
        <v>109048208.49999999</v>
      </c>
      <c r="H26" s="302">
        <v>-6118300</v>
      </c>
      <c r="I26" s="302">
        <v>43631649.450000003</v>
      </c>
      <c r="J26" s="302">
        <v>136017692</v>
      </c>
      <c r="K26" s="99"/>
      <c r="L26" s="100">
        <v>8115</v>
      </c>
      <c r="M26" t="s">
        <v>646</v>
      </c>
    </row>
    <row r="27" spans="1:13" x14ac:dyDescent="0.25">
      <c r="A27" s="24"/>
      <c r="B27" s="381"/>
      <c r="C27" s="303"/>
      <c r="D27" s="303"/>
      <c r="E27" s="303"/>
      <c r="F27" s="303"/>
      <c r="G27" s="303"/>
      <c r="H27" s="303"/>
      <c r="I27" s="303"/>
      <c r="J27" s="303"/>
      <c r="K27" s="245"/>
      <c r="L27" s="246">
        <v>8115</v>
      </c>
    </row>
    <row r="28" spans="1:13" x14ac:dyDescent="0.25">
      <c r="A28" s="24"/>
      <c r="B28" s="381"/>
      <c r="C28" s="303"/>
      <c r="D28" s="303"/>
      <c r="E28" s="303"/>
      <c r="F28" s="303"/>
      <c r="G28" s="303"/>
      <c r="H28" s="303"/>
      <c r="I28" s="303"/>
      <c r="J28" s="303"/>
      <c r="K28" s="245"/>
      <c r="L28" s="246">
        <v>8115</v>
      </c>
    </row>
    <row r="29" spans="1:13" x14ac:dyDescent="0.25">
      <c r="A29" s="24"/>
      <c r="B29" s="381"/>
      <c r="C29" s="303"/>
      <c r="D29" s="303"/>
      <c r="E29" s="303"/>
      <c r="F29" s="303"/>
      <c r="G29" s="303"/>
      <c r="H29" s="303"/>
      <c r="I29" s="303"/>
      <c r="J29" s="303"/>
      <c r="K29" s="245"/>
      <c r="L29" s="246">
        <v>8115</v>
      </c>
    </row>
    <row r="30" spans="1:13" x14ac:dyDescent="0.25">
      <c r="A30" s="24"/>
      <c r="B30" s="381"/>
      <c r="C30" s="303"/>
      <c r="D30" s="303"/>
      <c r="E30" s="303"/>
      <c r="F30" s="303"/>
      <c r="G30" s="303"/>
      <c r="H30" s="303"/>
      <c r="I30" s="303"/>
      <c r="J30" s="303"/>
      <c r="K30" s="245"/>
      <c r="L30" s="246">
        <v>8115</v>
      </c>
    </row>
    <row r="31" spans="1:13" x14ac:dyDescent="0.25">
      <c r="A31" s="24"/>
      <c r="B31" s="381"/>
      <c r="C31" s="303"/>
      <c r="D31" s="303"/>
      <c r="E31" s="303"/>
      <c r="F31" s="303"/>
      <c r="G31" s="303"/>
      <c r="H31" s="303"/>
      <c r="I31" s="303"/>
      <c r="J31" s="303"/>
      <c r="K31" s="245"/>
      <c r="L31" s="246">
        <v>8115</v>
      </c>
    </row>
    <row r="32" spans="1:13" x14ac:dyDescent="0.25">
      <c r="A32" s="24"/>
      <c r="B32" s="381"/>
      <c r="C32" s="303"/>
      <c r="D32" s="303"/>
      <c r="E32" s="303"/>
      <c r="F32" s="303"/>
      <c r="G32" s="303"/>
      <c r="H32" s="303"/>
      <c r="I32" s="303"/>
      <c r="J32" s="303"/>
      <c r="K32" s="245"/>
      <c r="L32" s="246">
        <v>8115</v>
      </c>
    </row>
    <row r="33" spans="1:13" x14ac:dyDescent="0.25">
      <c r="A33" s="24"/>
      <c r="B33" s="243"/>
      <c r="C33" s="244"/>
      <c r="D33" s="244"/>
      <c r="E33" s="244"/>
      <c r="F33" s="244"/>
      <c r="G33" s="244"/>
      <c r="H33" s="303"/>
      <c r="I33" s="303"/>
      <c r="J33" s="303"/>
      <c r="K33" s="245"/>
      <c r="L33" s="246">
        <v>8115</v>
      </c>
    </row>
    <row r="34" spans="1:13" x14ac:dyDescent="0.25">
      <c r="A34" s="24"/>
      <c r="B34" s="243"/>
      <c r="C34" s="244"/>
      <c r="D34" s="244"/>
      <c r="E34" s="244"/>
      <c r="F34" s="244"/>
      <c r="G34" s="244"/>
      <c r="H34" s="303"/>
      <c r="I34" s="303"/>
      <c r="J34" s="303"/>
      <c r="K34" s="245"/>
      <c r="L34" s="246">
        <v>8115</v>
      </c>
    </row>
    <row r="35" spans="1:13" ht="15.75" thickBot="1" x14ac:dyDescent="0.3">
      <c r="A35" s="24"/>
      <c r="B35" s="243"/>
      <c r="C35" s="244"/>
      <c r="D35" s="244"/>
      <c r="E35" s="244"/>
      <c r="F35" s="244"/>
      <c r="G35" s="244"/>
      <c r="H35" s="303"/>
      <c r="I35" s="303"/>
      <c r="J35" s="303"/>
      <c r="K35" s="245"/>
      <c r="L35" s="246">
        <v>8115</v>
      </c>
    </row>
    <row r="36" spans="1:13" ht="15.75" thickBot="1" x14ac:dyDescent="0.3">
      <c r="A36" s="101"/>
      <c r="B36" s="102" t="s">
        <v>647</v>
      </c>
      <c r="C36" s="103">
        <f t="shared" ref="C36:G36" si="0">SUM(C4:C35)</f>
        <v>49553022.390000001</v>
      </c>
      <c r="D36" s="103">
        <f t="shared" si="0"/>
        <v>-6038967.4099999964</v>
      </c>
      <c r="E36" s="103">
        <f t="shared" si="0"/>
        <v>-7204833.1700000055</v>
      </c>
      <c r="F36" s="103">
        <f t="shared" si="0"/>
        <v>-113071189.15000001</v>
      </c>
      <c r="G36" s="103">
        <f t="shared" si="0"/>
        <v>-118312833.31000008</v>
      </c>
      <c r="H36" s="103">
        <f>SUM(H8:H26)</f>
        <v>-31902210</v>
      </c>
      <c r="I36" s="103">
        <f t="shared" ref="I36:J36" si="1">SUM(I8:I26)</f>
        <v>21488255.920000002</v>
      </c>
      <c r="J36" s="103">
        <f t="shared" si="1"/>
        <v>110903632</v>
      </c>
      <c r="K36" s="104">
        <v>2200</v>
      </c>
      <c r="L36" s="105"/>
    </row>
    <row r="37" spans="1:13" x14ac:dyDescent="0.25">
      <c r="B37" s="1"/>
      <c r="C37" s="1"/>
      <c r="D37" s="1"/>
      <c r="E37" s="106">
        <f>-7204833.17-E36</f>
        <v>0</v>
      </c>
      <c r="F37" s="106"/>
      <c r="G37" s="1"/>
      <c r="H37" s="1"/>
      <c r="I37" s="1"/>
      <c r="J37" s="1"/>
      <c r="K37" s="107"/>
      <c r="L37" s="1"/>
    </row>
    <row r="38" spans="1:13" x14ac:dyDescent="0.25">
      <c r="B38" s="1"/>
      <c r="C38" s="538" t="str">
        <f>C2</f>
        <v>skutečnost</v>
      </c>
      <c r="D38" s="538" t="str">
        <f t="shared" ref="D38:J38" si="2">D2</f>
        <v>skutečnost</v>
      </c>
      <c r="E38" s="538" t="str">
        <f t="shared" si="2"/>
        <v>skutečnost</v>
      </c>
      <c r="F38" s="538" t="str">
        <f t="shared" si="2"/>
        <v>skutečnost</v>
      </c>
      <c r="G38" s="538" t="str">
        <f t="shared" si="2"/>
        <v>skutečnost</v>
      </c>
      <c r="H38" s="538" t="str">
        <f t="shared" si="2"/>
        <v>SR</v>
      </c>
      <c r="I38" s="538" t="str">
        <f t="shared" si="2"/>
        <v>UR</v>
      </c>
      <c r="J38" s="538" t="str">
        <f t="shared" si="2"/>
        <v>návrh</v>
      </c>
      <c r="K38" s="107"/>
      <c r="L38" s="1"/>
    </row>
    <row r="39" spans="1:13" x14ac:dyDescent="0.25">
      <c r="B39" s="1"/>
      <c r="C39" s="538">
        <f>C3</f>
        <v>2018</v>
      </c>
      <c r="D39" s="538">
        <f t="shared" ref="D39:J39" si="3">D3</f>
        <v>2019</v>
      </c>
      <c r="E39" s="538">
        <f t="shared" si="3"/>
        <v>2020</v>
      </c>
      <c r="F39" s="538">
        <f t="shared" si="3"/>
        <v>2021</v>
      </c>
      <c r="G39" s="538">
        <f t="shared" si="3"/>
        <v>2022</v>
      </c>
      <c r="H39" s="538">
        <f t="shared" si="3"/>
        <v>2023</v>
      </c>
      <c r="I39" s="538" t="str">
        <f t="shared" si="3"/>
        <v>k 06/23</v>
      </c>
      <c r="J39" s="538">
        <f t="shared" si="3"/>
        <v>2024</v>
      </c>
      <c r="K39" s="107"/>
      <c r="L39" s="1"/>
    </row>
    <row r="40" spans="1:13" s="3" customFormat="1" x14ac:dyDescent="0.25">
      <c r="B40" s="3" t="s">
        <v>5037</v>
      </c>
      <c r="C40" s="230">
        <f>PŘÍJMY!L349</f>
        <v>439496694.53000003</v>
      </c>
      <c r="D40" s="230">
        <f>PŘÍJMY!M349</f>
        <v>463171260.83999997</v>
      </c>
      <c r="E40" s="230">
        <f>PŘÍJMY!N349</f>
        <v>443774973.52000016</v>
      </c>
      <c r="F40" s="230">
        <f>PŘÍJMY!O349</f>
        <v>495787207.46999997</v>
      </c>
      <c r="G40" s="230">
        <f>PŘÍJMY!P349</f>
        <v>637743166.64999974</v>
      </c>
      <c r="H40" s="230">
        <f>PŘÍJMY!Q349</f>
        <v>538786170</v>
      </c>
      <c r="I40" s="230">
        <f>PŘÍJMY!R349</f>
        <v>561261601.19999993</v>
      </c>
      <c r="J40" s="230">
        <f>PŘÍJMY!S349</f>
        <v>591612600</v>
      </c>
      <c r="K40" s="539"/>
    </row>
    <row r="41" spans="1:13" s="3" customFormat="1" x14ac:dyDescent="0.25">
      <c r="B41" s="3" t="s">
        <v>5038</v>
      </c>
      <c r="C41" s="230">
        <f>PŘÍJMY!L360</f>
        <v>71131053.049999997</v>
      </c>
      <c r="D41" s="230">
        <f>PŘÍJMY!M360</f>
        <v>137371949.19999999</v>
      </c>
      <c r="E41" s="230">
        <f>PŘÍJMY!N360</f>
        <v>140400334.71000001</v>
      </c>
      <c r="F41" s="230">
        <f>PŘÍJMY!O360</f>
        <v>182906604.73000002</v>
      </c>
      <c r="G41" s="230">
        <f>PŘÍJMY!P360</f>
        <v>154835786.16</v>
      </c>
      <c r="H41" s="230">
        <f>PŘÍJMY!Q360</f>
        <v>63828540</v>
      </c>
      <c r="I41" s="230">
        <f>PŘÍJMY!R360</f>
        <v>123079378.5</v>
      </c>
      <c r="J41" s="230">
        <f>PŘÍJMY!S360</f>
        <v>52594327</v>
      </c>
      <c r="K41" s="539"/>
    </row>
    <row r="42" spans="1:13" x14ac:dyDescent="0.25">
      <c r="A42" s="39"/>
      <c r="B42" s="108" t="s">
        <v>648</v>
      </c>
      <c r="C42" s="109">
        <f>PŘÍJMY!L361</f>
        <v>510627747.58000004</v>
      </c>
      <c r="D42" s="109">
        <f>PŘÍJMY!M361</f>
        <v>600543210.03999996</v>
      </c>
      <c r="E42" s="109">
        <f>PŘÍJMY!N361</f>
        <v>584175308.23000002</v>
      </c>
      <c r="F42" s="109">
        <f>PŘÍJMY!O361</f>
        <v>678693812.20000005</v>
      </c>
      <c r="G42" s="109">
        <f>PŘÍJMY!P361</f>
        <v>792578952.80999994</v>
      </c>
      <c r="H42" s="109">
        <f>PŘÍJMY!Q361</f>
        <v>602614710</v>
      </c>
      <c r="I42" s="109">
        <f>PŘÍJMY!R361</f>
        <v>684340979.70000005</v>
      </c>
      <c r="J42" s="109">
        <f>PŘÍJMY!S361</f>
        <v>644206927</v>
      </c>
      <c r="K42" s="539"/>
      <c r="L42" s="171"/>
      <c r="M42" s="2"/>
    </row>
    <row r="43" spans="1:13" x14ac:dyDescent="0.25">
      <c r="A43" s="39"/>
      <c r="B43" s="89" t="s">
        <v>649</v>
      </c>
      <c r="C43" s="110">
        <f>NEINVESTICE!L788</f>
        <v>395705787.87</v>
      </c>
      <c r="D43" s="110">
        <f>NEINVESTICE!M788</f>
        <v>409469186.16000003</v>
      </c>
      <c r="E43" s="110">
        <f>NEINVESTICE!N788</f>
        <v>422700837.67999995</v>
      </c>
      <c r="F43" s="110">
        <f>NEINVESTICE!O788</f>
        <v>424334228.83999991</v>
      </c>
      <c r="G43" s="110">
        <f>NEINVESTICE!P788</f>
        <v>495551287.86000001</v>
      </c>
      <c r="H43" s="110">
        <f>NEINVESTICE!Q788</f>
        <v>507207780</v>
      </c>
      <c r="I43" s="110">
        <f>NEINVESTICE!R788</f>
        <v>563749170.23000002</v>
      </c>
      <c r="J43" s="110">
        <f>NEINVESTICE!S787</f>
        <v>541587367</v>
      </c>
      <c r="K43" s="539"/>
      <c r="L43" s="64"/>
    </row>
    <row r="44" spans="1:13" x14ac:dyDescent="0.25">
      <c r="A44" s="39"/>
      <c r="B44" s="108" t="s">
        <v>650</v>
      </c>
      <c r="C44" s="109">
        <f>INVESTICE!I117</f>
        <v>164474982.09999999</v>
      </c>
      <c r="D44" s="109">
        <f>INVESTICE!J117</f>
        <v>185035056.47000003</v>
      </c>
      <c r="E44" s="109">
        <f>INVESTICE!K117</f>
        <v>154269637.37999997</v>
      </c>
      <c r="F44" s="109">
        <f>INVESTICE!L117</f>
        <v>141288394.21000001</v>
      </c>
      <c r="G44" s="109">
        <f>INVESTICE!M117</f>
        <v>178714831.63999999</v>
      </c>
      <c r="H44" s="109">
        <f>INVESTICE!N117</f>
        <v>63504720</v>
      </c>
      <c r="I44" s="109">
        <f>INVESTICE!O117</f>
        <v>142080065.38999999</v>
      </c>
      <c r="J44" s="109">
        <f>INVESTICE!P116</f>
        <v>213523192</v>
      </c>
      <c r="K44" s="539"/>
      <c r="L44" s="171"/>
    </row>
    <row r="45" spans="1:13" x14ac:dyDescent="0.25">
      <c r="A45" s="39"/>
      <c r="B45" s="89" t="s">
        <v>651</v>
      </c>
      <c r="C45" s="110">
        <f t="shared" ref="C45:G45" si="4">C43+C44</f>
        <v>560180769.97000003</v>
      </c>
      <c r="D45" s="110">
        <f t="shared" si="4"/>
        <v>594504242.63000011</v>
      </c>
      <c r="E45" s="110">
        <f t="shared" si="4"/>
        <v>576970475.05999994</v>
      </c>
      <c r="F45" s="110">
        <f t="shared" si="4"/>
        <v>565622623.04999995</v>
      </c>
      <c r="G45" s="110">
        <f t="shared" si="4"/>
        <v>674266119.5</v>
      </c>
      <c r="H45" s="110">
        <f t="shared" ref="H45:J45" si="5">H43+H44</f>
        <v>570712500</v>
      </c>
      <c r="I45" s="110">
        <f t="shared" si="5"/>
        <v>705829235.62</v>
      </c>
      <c r="J45" s="110">
        <f t="shared" si="5"/>
        <v>755110559</v>
      </c>
      <c r="K45" s="539"/>
      <c r="L45" s="553"/>
    </row>
    <row r="46" spans="1:13" x14ac:dyDescent="0.25">
      <c r="A46" s="39"/>
      <c r="B46" s="108" t="s">
        <v>652</v>
      </c>
      <c r="C46" s="109">
        <f t="shared" ref="C46:G46" si="6">C42-C45</f>
        <v>-49553022.389999986</v>
      </c>
      <c r="D46" s="109">
        <f t="shared" si="6"/>
        <v>6038967.4099998474</v>
      </c>
      <c r="E46" s="109">
        <f t="shared" si="6"/>
        <v>7204833.1700000763</v>
      </c>
      <c r="F46" s="109">
        <f t="shared" si="6"/>
        <v>113071189.1500001</v>
      </c>
      <c r="G46" s="109">
        <f t="shared" si="6"/>
        <v>118312833.30999994</v>
      </c>
      <c r="H46" s="109">
        <f>H42-H45</f>
        <v>31902210</v>
      </c>
      <c r="I46" s="109">
        <f t="shared" ref="I46:J46" si="7">I42-I45</f>
        <v>-21488255.919999957</v>
      </c>
      <c r="J46" s="109">
        <f t="shared" si="7"/>
        <v>-110903632</v>
      </c>
      <c r="K46" s="539"/>
      <c r="L46" s="171"/>
    </row>
    <row r="47" spans="1:13" x14ac:dyDescent="0.25">
      <c r="A47" s="39"/>
      <c r="B47" s="89" t="s">
        <v>653</v>
      </c>
      <c r="C47" s="110">
        <f t="shared" ref="C47:G47" si="8">C36</f>
        <v>49553022.390000001</v>
      </c>
      <c r="D47" s="110">
        <f t="shared" si="8"/>
        <v>-6038967.4099999964</v>
      </c>
      <c r="E47" s="110">
        <f t="shared" si="8"/>
        <v>-7204833.1700000055</v>
      </c>
      <c r="F47" s="110">
        <f t="shared" si="8"/>
        <v>-113071189.15000001</v>
      </c>
      <c r="G47" s="110">
        <f t="shared" si="8"/>
        <v>-118312833.31000008</v>
      </c>
      <c r="H47" s="110">
        <f>H36</f>
        <v>-31902210</v>
      </c>
      <c r="I47" s="110">
        <f t="shared" ref="I47:J47" si="9">I36</f>
        <v>21488255.920000002</v>
      </c>
      <c r="J47" s="110">
        <f t="shared" si="9"/>
        <v>110903632</v>
      </c>
      <c r="K47" s="539"/>
      <c r="L47" s="60"/>
    </row>
    <row r="48" spans="1:13" x14ac:dyDescent="0.25">
      <c r="A48" s="39"/>
      <c r="B48" s="213" t="s">
        <v>654</v>
      </c>
      <c r="C48" s="214">
        <f t="shared" ref="C48:G48" si="10">C46+C47</f>
        <v>0</v>
      </c>
      <c r="D48" s="214">
        <f t="shared" si="10"/>
        <v>-1.4901161193847656E-7</v>
      </c>
      <c r="E48" s="214">
        <f t="shared" si="10"/>
        <v>7.0780515670776367E-8</v>
      </c>
      <c r="F48" s="214">
        <f t="shared" si="10"/>
        <v>0</v>
      </c>
      <c r="G48" s="214">
        <f t="shared" si="10"/>
        <v>-1.3411045074462891E-7</v>
      </c>
      <c r="H48" s="214">
        <f t="shared" ref="H48:J48" si="11">H46+H47</f>
        <v>0</v>
      </c>
      <c r="I48" s="214">
        <f t="shared" si="11"/>
        <v>4.4703483581542969E-8</v>
      </c>
      <c r="J48" s="214">
        <f t="shared" si="11"/>
        <v>0</v>
      </c>
      <c r="K48" s="539"/>
      <c r="L48" s="171"/>
    </row>
    <row r="49" spans="3:11" x14ac:dyDescent="0.25">
      <c r="E49" t="s">
        <v>5108</v>
      </c>
      <c r="F49" t="s">
        <v>5108</v>
      </c>
      <c r="G49" t="s">
        <v>5108</v>
      </c>
      <c r="H49" t="s">
        <v>5108</v>
      </c>
      <c r="I49" t="s">
        <v>5109</v>
      </c>
      <c r="J49" t="s">
        <v>5157</v>
      </c>
    </row>
    <row r="50" spans="3:11" x14ac:dyDescent="0.25">
      <c r="C50" s="2"/>
      <c r="D50" s="2"/>
      <c r="E50" s="2"/>
      <c r="F50" s="2"/>
      <c r="G50" s="2"/>
      <c r="H50" s="2"/>
      <c r="I50" s="2"/>
      <c r="J50" s="2"/>
      <c r="K50" s="2"/>
    </row>
    <row r="51" spans="3:11" x14ac:dyDescent="0.25">
      <c r="E51" s="227"/>
      <c r="F51" s="227"/>
      <c r="G51" s="377"/>
      <c r="H51" s="24"/>
      <c r="I51" s="24"/>
      <c r="J51" s="181" t="e">
        <f>#REF!+10000-J26</f>
        <v>#REF!</v>
      </c>
      <c r="K51" s="2"/>
    </row>
    <row r="52" spans="3:11" x14ac:dyDescent="0.25">
      <c r="C52" s="78"/>
      <c r="D52" s="78"/>
      <c r="E52" s="228"/>
      <c r="F52" s="228"/>
      <c r="G52" s="181"/>
      <c r="H52" s="181"/>
      <c r="I52" s="181"/>
      <c r="J52" s="2"/>
    </row>
    <row r="53" spans="3:11" x14ac:dyDescent="0.25">
      <c r="E53" s="228"/>
      <c r="F53" s="228"/>
      <c r="G53" s="181"/>
      <c r="H53" s="181"/>
      <c r="I53" s="181"/>
      <c r="J53" s="181"/>
    </row>
    <row r="54" spans="3:11" x14ac:dyDescent="0.25">
      <c r="E54" s="228"/>
      <c r="F54" s="228"/>
      <c r="G54" s="181"/>
      <c r="H54" s="181"/>
      <c r="I54" s="181"/>
      <c r="J54" s="181"/>
    </row>
    <row r="55" spans="3:11" x14ac:dyDescent="0.25">
      <c r="E55" s="228"/>
      <c r="F55" s="228"/>
      <c r="G55" s="181"/>
      <c r="H55" s="181"/>
      <c r="I55" s="181"/>
      <c r="J55" s="181"/>
    </row>
    <row r="56" spans="3:11" x14ac:dyDescent="0.25">
      <c r="E56" s="228"/>
      <c r="F56" s="228"/>
      <c r="G56" s="181"/>
      <c r="H56" s="181"/>
      <c r="I56" s="181"/>
      <c r="J56" s="181"/>
    </row>
    <row r="57" spans="3:11" x14ac:dyDescent="0.25">
      <c r="E57" s="2"/>
      <c r="F57" s="24"/>
      <c r="G57" s="229"/>
      <c r="H57" s="229"/>
      <c r="I57" s="229"/>
      <c r="J57" s="229"/>
    </row>
    <row r="58" spans="3:11" x14ac:dyDescent="0.25">
      <c r="E58" s="230"/>
      <c r="F58" s="181"/>
      <c r="G58" s="181"/>
      <c r="H58" s="181"/>
      <c r="I58" s="181"/>
      <c r="J58" s="181"/>
    </row>
    <row r="59" spans="3:11" x14ac:dyDescent="0.25">
      <c r="F59" s="181"/>
      <c r="G59" s="181"/>
      <c r="H59" s="181"/>
      <c r="I59" s="181"/>
      <c r="J59" s="181"/>
    </row>
  </sheetData>
  <sortState ref="A19:H25">
    <sortCondition ref="A19:A25"/>
  </sortState>
  <mergeCells count="2">
    <mergeCell ref="K2:L2"/>
    <mergeCell ref="M15:R15"/>
  </mergeCells>
  <printOptions headings="1"/>
  <pageMargins left="0.70866141732283472" right="0.70866141732283472" top="0.78740157480314965" bottom="0.78740157480314965" header="0.31496062992125984" footer="0.31496062992125984"/>
  <pageSetup paperSize="9" scale="64" orientation="landscape" r:id="rId1"/>
  <headerFooter>
    <oddFooter>Stránka &amp;P</oddFooter>
  </headerFooter>
  <ignoredErrors>
    <ignoredError sqref="C36 E36 G3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view="pageBreakPreview" zoomScaleNormal="100" zoomScaleSheetLayoutView="100" workbookViewId="0">
      <selection activeCell="D22" sqref="D22"/>
    </sheetView>
  </sheetViews>
  <sheetFormatPr defaultRowHeight="12.75" x14ac:dyDescent="0.25"/>
  <cols>
    <col min="1" max="1" width="8.85546875" style="161" customWidth="1"/>
    <col min="2" max="2" width="127.28515625" style="161" customWidth="1"/>
    <col min="3" max="3" width="31.28515625" style="161" customWidth="1"/>
    <col min="4" max="4" width="18.85546875" style="161" bestFit="1" customWidth="1"/>
    <col min="5" max="5" width="10.28515625" style="162" customWidth="1"/>
    <col min="6" max="256" width="8.85546875" style="162"/>
    <col min="257" max="257" width="41.42578125" style="162" customWidth="1"/>
    <col min="258" max="512" width="8.85546875" style="162"/>
    <col min="513" max="513" width="41.42578125" style="162" customWidth="1"/>
    <col min="514" max="768" width="8.85546875" style="162"/>
    <col min="769" max="769" width="41.42578125" style="162" customWidth="1"/>
    <col min="770" max="1024" width="8.85546875" style="162"/>
    <col min="1025" max="1025" width="41.42578125" style="162" customWidth="1"/>
    <col min="1026" max="1280" width="8.85546875" style="162"/>
    <col min="1281" max="1281" width="41.42578125" style="162" customWidth="1"/>
    <col min="1282" max="1536" width="8.85546875" style="162"/>
    <col min="1537" max="1537" width="41.42578125" style="162" customWidth="1"/>
    <col min="1538" max="1792" width="8.85546875" style="162"/>
    <col min="1793" max="1793" width="41.42578125" style="162" customWidth="1"/>
    <col min="1794" max="2048" width="8.85546875" style="162"/>
    <col min="2049" max="2049" width="41.42578125" style="162" customWidth="1"/>
    <col min="2050" max="2304" width="8.85546875" style="162"/>
    <col min="2305" max="2305" width="41.42578125" style="162" customWidth="1"/>
    <col min="2306" max="2560" width="8.85546875" style="162"/>
    <col min="2561" max="2561" width="41.42578125" style="162" customWidth="1"/>
    <col min="2562" max="2816" width="8.85546875" style="162"/>
    <col min="2817" max="2817" width="41.42578125" style="162" customWidth="1"/>
    <col min="2818" max="3072" width="8.85546875" style="162"/>
    <col min="3073" max="3073" width="41.42578125" style="162" customWidth="1"/>
    <col min="3074" max="3328" width="8.85546875" style="162"/>
    <col min="3329" max="3329" width="41.42578125" style="162" customWidth="1"/>
    <col min="3330" max="3584" width="8.85546875" style="162"/>
    <col min="3585" max="3585" width="41.42578125" style="162" customWidth="1"/>
    <col min="3586" max="3840" width="8.85546875" style="162"/>
    <col min="3841" max="3841" width="41.42578125" style="162" customWidth="1"/>
    <col min="3842" max="4096" width="8.85546875" style="162"/>
    <col min="4097" max="4097" width="41.42578125" style="162" customWidth="1"/>
    <col min="4098" max="4352" width="8.85546875" style="162"/>
    <col min="4353" max="4353" width="41.42578125" style="162" customWidth="1"/>
    <col min="4354" max="4608" width="8.85546875" style="162"/>
    <col min="4609" max="4609" width="41.42578125" style="162" customWidth="1"/>
    <col min="4610" max="4864" width="8.85546875" style="162"/>
    <col min="4865" max="4865" width="41.42578125" style="162" customWidth="1"/>
    <col min="4866" max="5120" width="8.85546875" style="162"/>
    <col min="5121" max="5121" width="41.42578125" style="162" customWidth="1"/>
    <col min="5122" max="5376" width="8.85546875" style="162"/>
    <col min="5377" max="5377" width="41.42578125" style="162" customWidth="1"/>
    <col min="5378" max="5632" width="8.85546875" style="162"/>
    <col min="5633" max="5633" width="41.42578125" style="162" customWidth="1"/>
    <col min="5634" max="5888" width="8.85546875" style="162"/>
    <col min="5889" max="5889" width="41.42578125" style="162" customWidth="1"/>
    <col min="5890" max="6144" width="8.85546875" style="162"/>
    <col min="6145" max="6145" width="41.42578125" style="162" customWidth="1"/>
    <col min="6146" max="6400" width="8.85546875" style="162"/>
    <col min="6401" max="6401" width="41.42578125" style="162" customWidth="1"/>
    <col min="6402" max="6656" width="8.85546875" style="162"/>
    <col min="6657" max="6657" width="41.42578125" style="162" customWidth="1"/>
    <col min="6658" max="6912" width="8.85546875" style="162"/>
    <col min="6913" max="6913" width="41.42578125" style="162" customWidth="1"/>
    <col min="6914" max="7168" width="8.85546875" style="162"/>
    <col min="7169" max="7169" width="41.42578125" style="162" customWidth="1"/>
    <col min="7170" max="7424" width="8.85546875" style="162"/>
    <col min="7425" max="7425" width="41.42578125" style="162" customWidth="1"/>
    <col min="7426" max="7680" width="8.85546875" style="162"/>
    <col min="7681" max="7681" width="41.42578125" style="162" customWidth="1"/>
    <col min="7682" max="7936" width="8.85546875" style="162"/>
    <col min="7937" max="7937" width="41.42578125" style="162" customWidth="1"/>
    <col min="7938" max="8192" width="8.85546875" style="162"/>
    <col min="8193" max="8193" width="41.42578125" style="162" customWidth="1"/>
    <col min="8194" max="8448" width="8.85546875" style="162"/>
    <col min="8449" max="8449" width="41.42578125" style="162" customWidth="1"/>
    <col min="8450" max="8704" width="8.85546875" style="162"/>
    <col min="8705" max="8705" width="41.42578125" style="162" customWidth="1"/>
    <col min="8706" max="8960" width="8.85546875" style="162"/>
    <col min="8961" max="8961" width="41.42578125" style="162" customWidth="1"/>
    <col min="8962" max="9216" width="8.85546875" style="162"/>
    <col min="9217" max="9217" width="41.42578125" style="162" customWidth="1"/>
    <col min="9218" max="9472" width="8.85546875" style="162"/>
    <col min="9473" max="9473" width="41.42578125" style="162" customWidth="1"/>
    <col min="9474" max="9728" width="8.85546875" style="162"/>
    <col min="9729" max="9729" width="41.42578125" style="162" customWidth="1"/>
    <col min="9730" max="9984" width="8.85546875" style="162"/>
    <col min="9985" max="9985" width="41.42578125" style="162" customWidth="1"/>
    <col min="9986" max="10240" width="8.85546875" style="162"/>
    <col min="10241" max="10241" width="41.42578125" style="162" customWidth="1"/>
    <col min="10242" max="10496" width="8.85546875" style="162"/>
    <col min="10497" max="10497" width="41.42578125" style="162" customWidth="1"/>
    <col min="10498" max="10752" width="8.85546875" style="162"/>
    <col min="10753" max="10753" width="41.42578125" style="162" customWidth="1"/>
    <col min="10754" max="11008" width="8.85546875" style="162"/>
    <col min="11009" max="11009" width="41.42578125" style="162" customWidth="1"/>
    <col min="11010" max="11264" width="8.85546875" style="162"/>
    <col min="11265" max="11265" width="41.42578125" style="162" customWidth="1"/>
    <col min="11266" max="11520" width="8.85546875" style="162"/>
    <col min="11521" max="11521" width="41.42578125" style="162" customWidth="1"/>
    <col min="11522" max="11776" width="8.85546875" style="162"/>
    <col min="11777" max="11777" width="41.42578125" style="162" customWidth="1"/>
    <col min="11778" max="12032" width="8.85546875" style="162"/>
    <col min="12033" max="12033" width="41.42578125" style="162" customWidth="1"/>
    <col min="12034" max="12288" width="8.85546875" style="162"/>
    <col min="12289" max="12289" width="41.42578125" style="162" customWidth="1"/>
    <col min="12290" max="12544" width="8.85546875" style="162"/>
    <col min="12545" max="12545" width="41.42578125" style="162" customWidth="1"/>
    <col min="12546" max="12800" width="8.85546875" style="162"/>
    <col min="12801" max="12801" width="41.42578125" style="162" customWidth="1"/>
    <col min="12802" max="13056" width="8.85546875" style="162"/>
    <col min="13057" max="13057" width="41.42578125" style="162" customWidth="1"/>
    <col min="13058" max="13312" width="8.85546875" style="162"/>
    <col min="13313" max="13313" width="41.42578125" style="162" customWidth="1"/>
    <col min="13314" max="13568" width="8.85546875" style="162"/>
    <col min="13569" max="13569" width="41.42578125" style="162" customWidth="1"/>
    <col min="13570" max="13824" width="8.85546875" style="162"/>
    <col min="13825" max="13825" width="41.42578125" style="162" customWidth="1"/>
    <col min="13826" max="14080" width="8.85546875" style="162"/>
    <col min="14081" max="14081" width="41.42578125" style="162" customWidth="1"/>
    <col min="14082" max="14336" width="8.85546875" style="162"/>
    <col min="14337" max="14337" width="41.42578125" style="162" customWidth="1"/>
    <col min="14338" max="14592" width="8.85546875" style="162"/>
    <col min="14593" max="14593" width="41.42578125" style="162" customWidth="1"/>
    <col min="14594" max="14848" width="8.85546875" style="162"/>
    <col min="14849" max="14849" width="41.42578125" style="162" customWidth="1"/>
    <col min="14850" max="15104" width="8.85546875" style="162"/>
    <col min="15105" max="15105" width="41.42578125" style="162" customWidth="1"/>
    <col min="15106" max="15360" width="8.85546875" style="162"/>
    <col min="15361" max="15361" width="41.42578125" style="162" customWidth="1"/>
    <col min="15362" max="15616" width="8.85546875" style="162"/>
    <col min="15617" max="15617" width="41.42578125" style="162" customWidth="1"/>
    <col min="15618" max="15872" width="8.85546875" style="162"/>
    <col min="15873" max="15873" width="41.42578125" style="162" customWidth="1"/>
    <col min="15874" max="16128" width="8.85546875" style="162"/>
    <col min="16129" max="16129" width="41.42578125" style="162" customWidth="1"/>
    <col min="16130" max="16384" width="8.85546875" style="162"/>
  </cols>
  <sheetData>
    <row r="1" spans="1:5" x14ac:dyDescent="0.25">
      <c r="A1" s="220" t="s">
        <v>3903</v>
      </c>
      <c r="B1" s="220" t="s">
        <v>3904</v>
      </c>
      <c r="C1" s="220" t="s">
        <v>3905</v>
      </c>
      <c r="D1" s="220" t="s">
        <v>3906</v>
      </c>
      <c r="E1" s="219" t="s">
        <v>3907</v>
      </c>
    </row>
    <row r="2" spans="1:5" x14ac:dyDescent="0.25">
      <c r="A2" s="268">
        <v>2010</v>
      </c>
      <c r="B2" s="267" t="s">
        <v>4486</v>
      </c>
      <c r="C2" s="222" t="s">
        <v>3658</v>
      </c>
      <c r="D2" s="221" t="s">
        <v>3662</v>
      </c>
    </row>
    <row r="3" spans="1:5" x14ac:dyDescent="0.25">
      <c r="A3" s="221">
        <v>2020</v>
      </c>
      <c r="B3" s="221" t="s">
        <v>3633</v>
      </c>
      <c r="C3" s="222" t="s">
        <v>3659</v>
      </c>
      <c r="D3" s="221" t="s">
        <v>3678</v>
      </c>
    </row>
    <row r="4" spans="1:5" x14ac:dyDescent="0.25">
      <c r="A4" s="221">
        <v>2030</v>
      </c>
      <c r="B4" s="221" t="s">
        <v>3634</v>
      </c>
      <c r="C4" s="222" t="s">
        <v>3660</v>
      </c>
      <c r="D4" s="221" t="s">
        <v>3679</v>
      </c>
    </row>
    <row r="5" spans="1:5" ht="15" x14ac:dyDescent="0.25">
      <c r="A5" s="221">
        <v>2040</v>
      </c>
      <c r="B5" s="221" t="s">
        <v>5015</v>
      </c>
      <c r="C5" s="400" t="s">
        <v>4633</v>
      </c>
      <c r="D5" s="221" t="s">
        <v>3674</v>
      </c>
      <c r="E5" s="162" t="s">
        <v>3792</v>
      </c>
    </row>
    <row r="6" spans="1:5" ht="15" x14ac:dyDescent="0.25">
      <c r="A6" s="221">
        <v>2045</v>
      </c>
      <c r="B6" s="221" t="s">
        <v>4487</v>
      </c>
      <c r="C6" s="224" t="s">
        <v>3680</v>
      </c>
      <c r="D6" s="221" t="s">
        <v>3681</v>
      </c>
    </row>
    <row r="7" spans="1:5" ht="15" x14ac:dyDescent="0.25">
      <c r="A7" s="221">
        <v>2047</v>
      </c>
      <c r="B7" s="221" t="s">
        <v>4488</v>
      </c>
      <c r="C7" s="225" t="s">
        <v>3843</v>
      </c>
      <c r="D7" s="221" t="s">
        <v>3844</v>
      </c>
    </row>
    <row r="8" spans="1:5" ht="25.5" x14ac:dyDescent="0.25">
      <c r="A8" s="221">
        <v>2049</v>
      </c>
      <c r="B8" s="221" t="s">
        <v>4489</v>
      </c>
      <c r="C8" s="223" t="s">
        <v>4484</v>
      </c>
      <c r="D8" s="279" t="s">
        <v>4485</v>
      </c>
    </row>
    <row r="9" spans="1:5" ht="15" x14ac:dyDescent="0.25">
      <c r="A9" s="221">
        <v>2050</v>
      </c>
      <c r="B9" s="221" t="s">
        <v>3770</v>
      </c>
      <c r="C9" s="223" t="s">
        <v>3739</v>
      </c>
      <c r="D9" s="221" t="s">
        <v>3738</v>
      </c>
      <c r="E9" s="162" t="s">
        <v>3792</v>
      </c>
    </row>
    <row r="10" spans="1:5" x14ac:dyDescent="0.25">
      <c r="A10" s="221">
        <v>2055</v>
      </c>
      <c r="B10" s="221" t="s">
        <v>3769</v>
      </c>
      <c r="C10" s="222" t="s">
        <v>3664</v>
      </c>
      <c r="D10" s="221" t="s">
        <v>3665</v>
      </c>
    </row>
    <row r="11" spans="1:5" ht="15" x14ac:dyDescent="0.25">
      <c r="A11" s="221">
        <v>2059</v>
      </c>
      <c r="B11" s="221" t="s">
        <v>3909</v>
      </c>
      <c r="C11" s="223" t="s">
        <v>3908</v>
      </c>
      <c r="D11" s="221" t="s">
        <v>3845</v>
      </c>
      <c r="E11" s="162" t="s">
        <v>3792</v>
      </c>
    </row>
    <row r="12" spans="1:5" ht="15" x14ac:dyDescent="0.25">
      <c r="A12" s="221">
        <v>2060</v>
      </c>
      <c r="B12" s="221" t="s">
        <v>4634</v>
      </c>
      <c r="C12" s="223" t="s">
        <v>4635</v>
      </c>
      <c r="D12" s="221" t="s">
        <v>3682</v>
      </c>
    </row>
    <row r="13" spans="1:5" ht="15" x14ac:dyDescent="0.25">
      <c r="A13" s="221">
        <v>2070</v>
      </c>
      <c r="B13" s="221" t="s">
        <v>4438</v>
      </c>
      <c r="C13" s="223" t="s">
        <v>3683</v>
      </c>
      <c r="D13" s="221" t="s">
        <v>3684</v>
      </c>
    </row>
    <row r="14" spans="1:5" ht="15" x14ac:dyDescent="0.25">
      <c r="A14" s="221">
        <v>2080</v>
      </c>
      <c r="B14" s="221" t="s">
        <v>5020</v>
      </c>
      <c r="C14" s="223" t="s">
        <v>4422</v>
      </c>
      <c r="D14" s="221" t="s">
        <v>4423</v>
      </c>
    </row>
    <row r="15" spans="1:5" ht="15" x14ac:dyDescent="0.25">
      <c r="A15" s="221">
        <v>2086</v>
      </c>
      <c r="B15" s="221" t="s">
        <v>4636</v>
      </c>
      <c r="C15" s="223" t="s">
        <v>4422</v>
      </c>
      <c r="D15" s="221" t="s">
        <v>4423</v>
      </c>
    </row>
    <row r="16" spans="1:5" x14ac:dyDescent="0.25">
      <c r="A16" s="221">
        <v>2090</v>
      </c>
      <c r="B16" s="221" t="s">
        <v>3768</v>
      </c>
      <c r="C16" s="222" t="s">
        <v>3661</v>
      </c>
      <c r="D16" s="221" t="s">
        <v>3663</v>
      </c>
      <c r="E16" s="162" t="s">
        <v>3792</v>
      </c>
    </row>
    <row r="17" spans="1:5" ht="15" x14ac:dyDescent="0.25">
      <c r="A17" s="221">
        <v>2094</v>
      </c>
      <c r="B17" s="221" t="s">
        <v>3767</v>
      </c>
      <c r="C17" s="223" t="s">
        <v>3666</v>
      </c>
      <c r="D17" s="221" t="s">
        <v>3667</v>
      </c>
    </row>
    <row r="18" spans="1:5" ht="15" x14ac:dyDescent="0.25">
      <c r="A18" s="221">
        <v>2100</v>
      </c>
      <c r="B18" s="221" t="s">
        <v>3766</v>
      </c>
      <c r="C18" s="224" t="s">
        <v>3675</v>
      </c>
      <c r="D18" s="221" t="s">
        <v>3676</v>
      </c>
      <c r="E18" s="162" t="s">
        <v>3792</v>
      </c>
    </row>
    <row r="19" spans="1:5" ht="15" x14ac:dyDescent="0.25">
      <c r="A19" s="221">
        <v>2200</v>
      </c>
      <c r="B19" s="221" t="s">
        <v>3765</v>
      </c>
      <c r="C19" s="223" t="s">
        <v>3772</v>
      </c>
      <c r="D19" s="221" t="s">
        <v>3773</v>
      </c>
    </row>
    <row r="20" spans="1:5" ht="15" x14ac:dyDescent="0.25">
      <c r="A20" s="221">
        <v>2300</v>
      </c>
      <c r="B20" s="221" t="s">
        <v>4437</v>
      </c>
      <c r="C20" s="223" t="s">
        <v>3677</v>
      </c>
      <c r="D20" s="221" t="s">
        <v>3764</v>
      </c>
      <c r="E20" s="162" t="s">
        <v>3792</v>
      </c>
    </row>
    <row r="21" spans="1:5" ht="15" x14ac:dyDescent="0.25">
      <c r="A21" s="221">
        <v>2490</v>
      </c>
      <c r="B21" s="221" t="s">
        <v>4439</v>
      </c>
      <c r="C21" s="223" t="s">
        <v>4424</v>
      </c>
      <c r="D21" s="221" t="s">
        <v>3686</v>
      </c>
      <c r="E21" s="162" t="s">
        <v>3792</v>
      </c>
    </row>
    <row r="22" spans="1:5" ht="15" x14ac:dyDescent="0.25">
      <c r="A22" s="221">
        <v>2500</v>
      </c>
      <c r="B22" s="221" t="s">
        <v>5123</v>
      </c>
      <c r="C22" s="223" t="s">
        <v>4637</v>
      </c>
      <c r="D22" s="221" t="s">
        <v>5124</v>
      </c>
    </row>
    <row r="23" spans="1:5" ht="15" x14ac:dyDescent="0.25">
      <c r="A23" s="221">
        <v>2600</v>
      </c>
      <c r="B23" s="221" t="s">
        <v>4638</v>
      </c>
      <c r="C23" s="223" t="s">
        <v>3846</v>
      </c>
      <c r="D23" s="221" t="s">
        <v>3847</v>
      </c>
    </row>
    <row r="24" spans="1:5" ht="15" x14ac:dyDescent="0.25">
      <c r="A24" s="267">
        <v>2698</v>
      </c>
      <c r="B24" s="267" t="s">
        <v>4490</v>
      </c>
      <c r="C24" s="223" t="s">
        <v>3846</v>
      </c>
      <c r="D24" s="221" t="s">
        <v>3847</v>
      </c>
    </row>
    <row r="25" spans="1:5" ht="15" x14ac:dyDescent="0.25">
      <c r="A25" s="267">
        <v>2699</v>
      </c>
      <c r="B25" s="267" t="s">
        <v>4491</v>
      </c>
      <c r="C25" s="223" t="s">
        <v>3687</v>
      </c>
      <c r="D25" s="221" t="s">
        <v>3688</v>
      </c>
    </row>
    <row r="26" spans="1:5" ht="15" x14ac:dyDescent="0.25">
      <c r="A26" s="221">
        <v>2700</v>
      </c>
      <c r="B26" s="221" t="s">
        <v>4436</v>
      </c>
      <c r="C26" s="223" t="s">
        <v>3689</v>
      </c>
      <c r="D26" s="221" t="s">
        <v>3690</v>
      </c>
      <c r="E26" s="162" t="s">
        <v>3792</v>
      </c>
    </row>
    <row r="27" spans="1:5" ht="15" x14ac:dyDescent="0.25">
      <c r="A27" s="267">
        <v>2799</v>
      </c>
      <c r="B27" s="267" t="s">
        <v>4649</v>
      </c>
      <c r="C27" s="223" t="s">
        <v>3689</v>
      </c>
      <c r="D27" s="221" t="s">
        <v>3690</v>
      </c>
    </row>
    <row r="28" spans="1:5" ht="15" x14ac:dyDescent="0.25">
      <c r="A28" s="221">
        <v>2870</v>
      </c>
      <c r="B28" s="221" t="s">
        <v>3837</v>
      </c>
      <c r="C28" s="223" t="s">
        <v>3848</v>
      </c>
      <c r="D28" s="221" t="s">
        <v>3849</v>
      </c>
      <c r="E28" s="162" t="s">
        <v>3792</v>
      </c>
    </row>
    <row r="29" spans="1:5" ht="15" x14ac:dyDescent="0.25">
      <c r="A29" s="267">
        <v>2899</v>
      </c>
      <c r="B29" s="267" t="s">
        <v>4492</v>
      </c>
      <c r="C29" s="223" t="s">
        <v>3672</v>
      </c>
      <c r="D29" s="221" t="s">
        <v>3673</v>
      </c>
    </row>
    <row r="30" spans="1:5" ht="15" x14ac:dyDescent="0.25">
      <c r="A30" s="221">
        <v>2950</v>
      </c>
      <c r="B30" s="221" t="s">
        <v>4434</v>
      </c>
      <c r="C30" s="223" t="s">
        <v>3668</v>
      </c>
      <c r="D30" s="221" t="s">
        <v>3669</v>
      </c>
      <c r="E30" s="162" t="s">
        <v>3792</v>
      </c>
    </row>
    <row r="31" spans="1:5" ht="15" x14ac:dyDescent="0.25">
      <c r="A31" s="221">
        <v>2956</v>
      </c>
      <c r="B31" s="221" t="s">
        <v>4435</v>
      </c>
      <c r="C31" s="223" t="s">
        <v>3668</v>
      </c>
      <c r="D31" s="221" t="s">
        <v>3669</v>
      </c>
    </row>
    <row r="32" spans="1:5" ht="15" x14ac:dyDescent="0.25">
      <c r="A32" s="221">
        <v>2960</v>
      </c>
      <c r="B32" s="221" t="s">
        <v>4495</v>
      </c>
      <c r="C32" s="223" t="s">
        <v>3771</v>
      </c>
      <c r="D32" s="221" t="s">
        <v>3685</v>
      </c>
    </row>
    <row r="33" spans="1:4" ht="15" x14ac:dyDescent="0.25">
      <c r="A33" s="221">
        <v>2997</v>
      </c>
      <c r="B33" s="221" t="s">
        <v>4496</v>
      </c>
      <c r="C33" s="223" t="s">
        <v>3670</v>
      </c>
      <c r="D33" s="221" t="s">
        <v>3671</v>
      </c>
    </row>
    <row r="34" spans="1:4" ht="15" x14ac:dyDescent="0.25">
      <c r="A34" s="267">
        <v>2998</v>
      </c>
      <c r="B34" s="267" t="s">
        <v>4493</v>
      </c>
      <c r="C34" s="223" t="s">
        <v>4639</v>
      </c>
      <c r="D34" s="221" t="s">
        <v>4443</v>
      </c>
    </row>
    <row r="35" spans="1:4" ht="15" x14ac:dyDescent="0.25">
      <c r="A35" s="267">
        <v>2999</v>
      </c>
      <c r="B35" s="267" t="s">
        <v>4494</v>
      </c>
      <c r="C35" s="223" t="s">
        <v>3771</v>
      </c>
      <c r="D35" s="221" t="s">
        <v>3685</v>
      </c>
    </row>
  </sheetData>
  <autoFilter ref="A1:E35"/>
  <sortState ref="A1:D33">
    <sortCondition ref="A1:A33"/>
  </sortState>
  <hyperlinks>
    <hyperlink ref="C9" r:id="rId1"/>
    <hyperlink ref="C27" r:id="rId2"/>
    <hyperlink ref="C26" r:id="rId3"/>
    <hyperlink ref="C25" r:id="rId4"/>
    <hyperlink ref="C23" r:id="rId5"/>
    <hyperlink ref="C22" r:id="rId6"/>
    <hyperlink ref="C21" r:id="rId7"/>
    <hyperlink ref="C32" r:id="rId8"/>
    <hyperlink ref="C13" r:id="rId9"/>
    <hyperlink ref="C12" r:id="rId10"/>
    <hyperlink ref="C6" r:id="rId11" display="mailto:icvedouci@mu.kutnahora.cz"/>
    <hyperlink ref="C20" r:id="rId12"/>
    <hyperlink ref="C18" r:id="rId13" display="mailto:marecek@mu.kutnahora.cz"/>
    <hyperlink ref="C29" r:id="rId14"/>
    <hyperlink ref="C28" r:id="rId15"/>
    <hyperlink ref="C33" r:id="rId16"/>
    <hyperlink ref="C31" r:id="rId17"/>
    <hyperlink ref="C30" r:id="rId18"/>
    <hyperlink ref="C17" r:id="rId19"/>
    <hyperlink ref="C11" r:id="rId20"/>
    <hyperlink ref="C10" r:id="rId21"/>
    <hyperlink ref="C16" r:id="rId22"/>
    <hyperlink ref="C4" r:id="rId23"/>
    <hyperlink ref="C3" r:id="rId24"/>
    <hyperlink ref="C2" r:id="rId25"/>
    <hyperlink ref="C8" r:id="rId26"/>
    <hyperlink ref="C7" r:id="rId27"/>
    <hyperlink ref="C19" r:id="rId28"/>
    <hyperlink ref="C35" r:id="rId29"/>
    <hyperlink ref="C24" r:id="rId30"/>
    <hyperlink ref="C34" r:id="rId31"/>
    <hyperlink ref="C5" r:id="rId32" display="mailto:ostranska@mu.kutnahora.cz"/>
  </hyperlinks>
  <pageMargins left="0.70866141732283472" right="0.70866141732283472" top="0.78740157480314965" bottom="0.78740157480314965" header="0.31496062992125984" footer="0.31496062992125984"/>
  <pageSetup paperSize="9" scale="70" orientation="landscape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106"/>
  <sheetViews>
    <sheetView showGridLines="0" topLeftCell="A6" workbookViewId="0">
      <selection activeCell="A14" sqref="A14"/>
    </sheetView>
  </sheetViews>
  <sheetFormatPr defaultRowHeight="15" x14ac:dyDescent="0.25"/>
  <cols>
    <col min="1" max="1" width="17.85546875" style="43" customWidth="1"/>
    <col min="2" max="2" width="65.5703125" style="308" customWidth="1"/>
    <col min="3" max="3" width="14.7109375" customWidth="1"/>
  </cols>
  <sheetData>
    <row r="1" spans="1:2" x14ac:dyDescent="0.25">
      <c r="A1" s="310" t="s">
        <v>655</v>
      </c>
      <c r="B1" s="311" t="s">
        <v>181</v>
      </c>
    </row>
    <row r="2" spans="1:2" x14ac:dyDescent="0.25">
      <c r="A2" s="16" t="s">
        <v>656</v>
      </c>
      <c r="B2" s="309" t="s">
        <v>657</v>
      </c>
    </row>
    <row r="3" spans="1:2" x14ac:dyDescent="0.25">
      <c r="A3" s="16" t="s">
        <v>658</v>
      </c>
      <c r="B3" s="309" t="s">
        <v>659</v>
      </c>
    </row>
    <row r="4" spans="1:2" x14ac:dyDescent="0.25">
      <c r="A4" s="16" t="s">
        <v>660</v>
      </c>
      <c r="B4" s="309" t="s">
        <v>661</v>
      </c>
    </row>
    <row r="5" spans="1:2" x14ac:dyDescent="0.25">
      <c r="A5" s="16" t="s">
        <v>662</v>
      </c>
      <c r="B5" s="309" t="s">
        <v>663</v>
      </c>
    </row>
    <row r="6" spans="1:2" x14ac:dyDescent="0.25">
      <c r="A6" s="16" t="s">
        <v>664</v>
      </c>
      <c r="B6" s="309" t="s">
        <v>665</v>
      </c>
    </row>
    <row r="7" spans="1:2" x14ac:dyDescent="0.25">
      <c r="A7" s="16" t="s">
        <v>666</v>
      </c>
      <c r="B7" s="309" t="s">
        <v>667</v>
      </c>
    </row>
    <row r="8" spans="1:2" x14ac:dyDescent="0.25">
      <c r="A8" s="16" t="s">
        <v>668</v>
      </c>
      <c r="B8" s="309" t="s">
        <v>669</v>
      </c>
    </row>
    <row r="9" spans="1:2" x14ac:dyDescent="0.25">
      <c r="A9" s="16" t="s">
        <v>670</v>
      </c>
      <c r="B9" s="309" t="s">
        <v>671</v>
      </c>
    </row>
    <row r="10" spans="1:2" x14ac:dyDescent="0.25">
      <c r="A10" s="16" t="s">
        <v>672</v>
      </c>
      <c r="B10" s="309" t="s">
        <v>673</v>
      </c>
    </row>
    <row r="11" spans="1:2" x14ac:dyDescent="0.25">
      <c r="A11" s="16" t="s">
        <v>61</v>
      </c>
      <c r="B11" s="309" t="s">
        <v>674</v>
      </c>
    </row>
    <row r="12" spans="1:2" x14ac:dyDescent="0.25">
      <c r="A12" s="16" t="s">
        <v>675</v>
      </c>
      <c r="B12" s="309" t="s">
        <v>676</v>
      </c>
    </row>
    <row r="13" spans="1:2" x14ac:dyDescent="0.25">
      <c r="A13" s="16" t="s">
        <v>677</v>
      </c>
      <c r="B13" s="309" t="s">
        <v>678</v>
      </c>
    </row>
    <row r="14" spans="1:2" x14ac:dyDescent="0.25">
      <c r="A14" s="16" t="s">
        <v>679</v>
      </c>
      <c r="B14" s="309" t="s">
        <v>680</v>
      </c>
    </row>
    <row r="15" spans="1:2" x14ac:dyDescent="0.25">
      <c r="A15" s="16" t="s">
        <v>679</v>
      </c>
      <c r="B15" s="309" t="s">
        <v>4475</v>
      </c>
    </row>
    <row r="16" spans="1:2" x14ac:dyDescent="0.25">
      <c r="A16" s="16" t="s">
        <v>681</v>
      </c>
      <c r="B16" s="309" t="s">
        <v>682</v>
      </c>
    </row>
    <row r="17" spans="1:2" x14ac:dyDescent="0.25">
      <c r="A17" s="16" t="s">
        <v>63</v>
      </c>
      <c r="B17" s="309" t="s">
        <v>683</v>
      </c>
    </row>
    <row r="18" spans="1:2" x14ac:dyDescent="0.25">
      <c r="A18" s="16" t="s">
        <v>63</v>
      </c>
      <c r="B18" s="309" t="s">
        <v>683</v>
      </c>
    </row>
    <row r="19" spans="1:2" ht="30" x14ac:dyDescent="0.25">
      <c r="A19" s="16" t="s">
        <v>684</v>
      </c>
      <c r="B19" s="312" t="s">
        <v>685</v>
      </c>
    </row>
    <row r="20" spans="1:2" x14ac:dyDescent="0.25">
      <c r="A20" s="22" t="s">
        <v>686</v>
      </c>
      <c r="B20" s="312" t="s">
        <v>687</v>
      </c>
    </row>
    <row r="21" spans="1:2" x14ac:dyDescent="0.25">
      <c r="A21" s="16" t="s">
        <v>688</v>
      </c>
      <c r="B21" s="309" t="s">
        <v>689</v>
      </c>
    </row>
    <row r="22" spans="1:2" x14ac:dyDescent="0.25">
      <c r="A22" s="16" t="s">
        <v>690</v>
      </c>
      <c r="B22" s="312" t="s">
        <v>691</v>
      </c>
    </row>
    <row r="23" spans="1:2" x14ac:dyDescent="0.25">
      <c r="A23" s="16" t="s">
        <v>692</v>
      </c>
      <c r="B23" s="309" t="s">
        <v>693</v>
      </c>
    </row>
    <row r="24" spans="1:2" x14ac:dyDescent="0.25">
      <c r="A24" s="16" t="s">
        <v>694</v>
      </c>
      <c r="B24" s="309" t="s">
        <v>612</v>
      </c>
    </row>
    <row r="25" spans="1:2" x14ac:dyDescent="0.25">
      <c r="A25" s="16" t="s">
        <v>694</v>
      </c>
      <c r="B25" s="309" t="s">
        <v>612</v>
      </c>
    </row>
    <row r="26" spans="1:2" x14ac:dyDescent="0.25">
      <c r="A26" s="16" t="s">
        <v>695</v>
      </c>
      <c r="B26" s="309" t="s">
        <v>696</v>
      </c>
    </row>
    <row r="27" spans="1:2" x14ac:dyDescent="0.25">
      <c r="A27" s="16" t="s">
        <v>697</v>
      </c>
      <c r="B27" s="309" t="s">
        <v>698</v>
      </c>
    </row>
    <row r="28" spans="1:2" x14ac:dyDescent="0.25">
      <c r="A28" s="16" t="s">
        <v>699</v>
      </c>
      <c r="B28" s="309" t="s">
        <v>700</v>
      </c>
    </row>
    <row r="29" spans="1:2" x14ac:dyDescent="0.25">
      <c r="A29" s="16" t="s">
        <v>701</v>
      </c>
      <c r="B29" s="309" t="s">
        <v>702</v>
      </c>
    </row>
    <row r="30" spans="1:2" x14ac:dyDescent="0.25">
      <c r="A30" s="16" t="s">
        <v>703</v>
      </c>
      <c r="B30" s="312" t="s">
        <v>704</v>
      </c>
    </row>
    <row r="31" spans="1:2" x14ac:dyDescent="0.25">
      <c r="A31" s="16" t="s">
        <v>8</v>
      </c>
      <c r="B31" s="309" t="s">
        <v>4474</v>
      </c>
    </row>
    <row r="32" spans="1:2" x14ac:dyDescent="0.25">
      <c r="A32" s="16" t="s">
        <v>705</v>
      </c>
      <c r="B32" s="312" t="s">
        <v>706</v>
      </c>
    </row>
    <row r="33" spans="1:2" x14ac:dyDescent="0.25">
      <c r="A33" s="16" t="s">
        <v>707</v>
      </c>
      <c r="B33" s="309" t="s">
        <v>708</v>
      </c>
    </row>
    <row r="34" spans="1:2" x14ac:dyDescent="0.25">
      <c r="A34" s="16" t="s">
        <v>709</v>
      </c>
      <c r="B34" s="309" t="s">
        <v>710</v>
      </c>
    </row>
    <row r="35" spans="1:2" x14ac:dyDescent="0.25">
      <c r="A35" s="16" t="s">
        <v>711</v>
      </c>
      <c r="B35" s="309" t="s">
        <v>712</v>
      </c>
    </row>
    <row r="36" spans="1:2" x14ac:dyDescent="0.25">
      <c r="A36" s="16" t="s">
        <v>713</v>
      </c>
      <c r="B36" s="312" t="s">
        <v>714</v>
      </c>
    </row>
    <row r="37" spans="1:2" x14ac:dyDescent="0.25">
      <c r="A37" s="16" t="s">
        <v>715</v>
      </c>
      <c r="B37" s="309" t="s">
        <v>716</v>
      </c>
    </row>
    <row r="38" spans="1:2" x14ac:dyDescent="0.25">
      <c r="A38" s="16" t="s">
        <v>717</v>
      </c>
      <c r="B38" s="309" t="s">
        <v>718</v>
      </c>
    </row>
    <row r="39" spans="1:2" x14ac:dyDescent="0.25">
      <c r="A39" s="16" t="s">
        <v>719</v>
      </c>
      <c r="B39" s="309" t="s">
        <v>720</v>
      </c>
    </row>
    <row r="40" spans="1:2" x14ac:dyDescent="0.25">
      <c r="A40" s="16" t="s">
        <v>721</v>
      </c>
      <c r="B40" s="313" t="s">
        <v>722</v>
      </c>
    </row>
    <row r="41" spans="1:2" x14ac:dyDescent="0.25">
      <c r="A41" s="16" t="s">
        <v>723</v>
      </c>
      <c r="B41" s="309" t="s">
        <v>724</v>
      </c>
    </row>
    <row r="42" spans="1:2" x14ac:dyDescent="0.25">
      <c r="A42" s="16" t="s">
        <v>725</v>
      </c>
      <c r="B42" s="309" t="s">
        <v>726</v>
      </c>
    </row>
    <row r="43" spans="1:2" x14ac:dyDescent="0.25">
      <c r="A43" s="16" t="s">
        <v>727</v>
      </c>
      <c r="B43" s="312" t="s">
        <v>728</v>
      </c>
    </row>
    <row r="44" spans="1:2" x14ac:dyDescent="0.25">
      <c r="A44" s="16" t="s">
        <v>729</v>
      </c>
      <c r="B44" s="309" t="s">
        <v>730</v>
      </c>
    </row>
    <row r="45" spans="1:2" ht="30" x14ac:dyDescent="0.25">
      <c r="A45" s="16" t="s">
        <v>7</v>
      </c>
      <c r="B45" s="309" t="s">
        <v>4473</v>
      </c>
    </row>
    <row r="46" spans="1:2" x14ac:dyDescent="0.25">
      <c r="A46" s="16" t="s">
        <v>731</v>
      </c>
      <c r="B46" s="309" t="s">
        <v>732</v>
      </c>
    </row>
    <row r="47" spans="1:2" x14ac:dyDescent="0.25">
      <c r="A47" s="16" t="s">
        <v>733</v>
      </c>
      <c r="B47" s="309" t="s">
        <v>734</v>
      </c>
    </row>
    <row r="48" spans="1:2" x14ac:dyDescent="0.25">
      <c r="A48" s="16" t="s">
        <v>1</v>
      </c>
      <c r="B48" s="309" t="s">
        <v>4467</v>
      </c>
    </row>
    <row r="49" spans="1:2" x14ac:dyDescent="0.25">
      <c r="A49" s="22" t="s">
        <v>735</v>
      </c>
      <c r="B49" s="312" t="s">
        <v>736</v>
      </c>
    </row>
    <row r="50" spans="1:2" x14ac:dyDescent="0.25">
      <c r="A50" s="16" t="s">
        <v>737</v>
      </c>
      <c r="B50" s="309" t="s">
        <v>738</v>
      </c>
    </row>
    <row r="51" spans="1:2" x14ac:dyDescent="0.25">
      <c r="A51" s="16" t="s">
        <v>739</v>
      </c>
      <c r="B51" s="309" t="s">
        <v>740</v>
      </c>
    </row>
    <row r="52" spans="1:2" x14ac:dyDescent="0.25">
      <c r="A52" s="16" t="s">
        <v>741</v>
      </c>
      <c r="B52" s="309" t="s">
        <v>742</v>
      </c>
    </row>
    <row r="53" spans="1:2" x14ac:dyDescent="0.25">
      <c r="A53" s="16" t="s">
        <v>743</v>
      </c>
      <c r="B53" s="309" t="s">
        <v>744</v>
      </c>
    </row>
    <row r="54" spans="1:2" x14ac:dyDescent="0.25">
      <c r="A54" s="16" t="s">
        <v>4</v>
      </c>
      <c r="B54" s="309" t="s">
        <v>4470</v>
      </c>
    </row>
    <row r="55" spans="1:2" x14ac:dyDescent="0.25">
      <c r="A55" s="16" t="s">
        <v>3</v>
      </c>
      <c r="B55" s="309" t="s">
        <v>4469</v>
      </c>
    </row>
    <row r="56" spans="1:2" x14ac:dyDescent="0.25">
      <c r="A56" s="16" t="s">
        <v>745</v>
      </c>
      <c r="B56" s="309" t="s">
        <v>746</v>
      </c>
    </row>
    <row r="57" spans="1:2" x14ac:dyDescent="0.25">
      <c r="A57" s="16" t="s">
        <v>747</v>
      </c>
      <c r="B57" s="309" t="s">
        <v>748</v>
      </c>
    </row>
    <row r="58" spans="1:2" x14ac:dyDescent="0.25">
      <c r="A58" s="22" t="s">
        <v>749</v>
      </c>
      <c r="B58" s="312" t="s">
        <v>750</v>
      </c>
    </row>
    <row r="59" spans="1:2" x14ac:dyDescent="0.25">
      <c r="A59" s="16" t="s">
        <v>751</v>
      </c>
      <c r="B59" s="309" t="s">
        <v>752</v>
      </c>
    </row>
    <row r="60" spans="1:2" x14ac:dyDescent="0.25">
      <c r="A60" s="16" t="s">
        <v>753</v>
      </c>
      <c r="B60" s="309" t="s">
        <v>754</v>
      </c>
    </row>
    <row r="61" spans="1:2" x14ac:dyDescent="0.25">
      <c r="A61" s="16" t="s">
        <v>755</v>
      </c>
      <c r="B61" s="309" t="s">
        <v>245</v>
      </c>
    </row>
    <row r="62" spans="1:2" x14ac:dyDescent="0.25">
      <c r="A62" s="16" t="s">
        <v>756</v>
      </c>
      <c r="B62" s="309" t="s">
        <v>757</v>
      </c>
    </row>
    <row r="63" spans="1:2" x14ac:dyDescent="0.25">
      <c r="A63" s="16" t="s">
        <v>758</v>
      </c>
      <c r="B63" s="309" t="s">
        <v>759</v>
      </c>
    </row>
    <row r="64" spans="1:2" x14ac:dyDescent="0.25">
      <c r="A64" s="16" t="s">
        <v>760</v>
      </c>
      <c r="B64" s="309" t="s">
        <v>761</v>
      </c>
    </row>
    <row r="65" spans="1:2" x14ac:dyDescent="0.25">
      <c r="A65" s="16" t="s">
        <v>762</v>
      </c>
      <c r="B65" s="309" t="s">
        <v>763</v>
      </c>
    </row>
    <row r="66" spans="1:2" x14ac:dyDescent="0.25">
      <c r="A66" s="16" t="s">
        <v>764</v>
      </c>
      <c r="B66" s="312" t="s">
        <v>765</v>
      </c>
    </row>
    <row r="67" spans="1:2" x14ac:dyDescent="0.25">
      <c r="A67" s="16" t="s">
        <v>766</v>
      </c>
      <c r="B67" s="309" t="s">
        <v>767</v>
      </c>
    </row>
    <row r="68" spans="1:2" x14ac:dyDescent="0.25">
      <c r="A68" s="16" t="s">
        <v>768</v>
      </c>
      <c r="B68" s="309" t="s">
        <v>769</v>
      </c>
    </row>
    <row r="69" spans="1:2" x14ac:dyDescent="0.25">
      <c r="A69" s="16" t="s">
        <v>770</v>
      </c>
      <c r="B69" s="309" t="s">
        <v>170</v>
      </c>
    </row>
    <row r="70" spans="1:2" x14ac:dyDescent="0.25">
      <c r="A70" s="16" t="s">
        <v>771</v>
      </c>
      <c r="B70" s="309" t="s">
        <v>772</v>
      </c>
    </row>
    <row r="71" spans="1:2" x14ac:dyDescent="0.25">
      <c r="A71" s="16" t="s">
        <v>773</v>
      </c>
      <c r="B71" s="309" t="s">
        <v>774</v>
      </c>
    </row>
    <row r="72" spans="1:2" x14ac:dyDescent="0.25">
      <c r="A72" s="16" t="s">
        <v>775</v>
      </c>
      <c r="B72" s="309" t="s">
        <v>776</v>
      </c>
    </row>
    <row r="73" spans="1:2" x14ac:dyDescent="0.25">
      <c r="A73" s="16" t="s">
        <v>777</v>
      </c>
      <c r="B73" s="312" t="s">
        <v>778</v>
      </c>
    </row>
    <row r="74" spans="1:2" x14ac:dyDescent="0.25">
      <c r="A74" s="16" t="s">
        <v>779</v>
      </c>
      <c r="B74" s="309" t="s">
        <v>780</v>
      </c>
    </row>
    <row r="75" spans="1:2" x14ac:dyDescent="0.25">
      <c r="A75" s="16" t="s">
        <v>781</v>
      </c>
      <c r="B75" s="309" t="s">
        <v>782</v>
      </c>
    </row>
    <row r="76" spans="1:2" x14ac:dyDescent="0.25">
      <c r="A76" s="16" t="s">
        <v>783</v>
      </c>
      <c r="B76" s="309" t="s">
        <v>784</v>
      </c>
    </row>
    <row r="77" spans="1:2" x14ac:dyDescent="0.25">
      <c r="A77" s="16" t="s">
        <v>2</v>
      </c>
      <c r="B77" s="309" t="s">
        <v>4468</v>
      </c>
    </row>
    <row r="78" spans="1:2" x14ac:dyDescent="0.25">
      <c r="A78" s="16" t="s">
        <v>785</v>
      </c>
      <c r="B78" s="309" t="s">
        <v>786</v>
      </c>
    </row>
    <row r="79" spans="1:2" x14ac:dyDescent="0.25">
      <c r="A79" s="16" t="s">
        <v>787</v>
      </c>
      <c r="B79" s="309" t="s">
        <v>788</v>
      </c>
    </row>
    <row r="80" spans="1:2" x14ac:dyDescent="0.25">
      <c r="A80" s="16" t="s">
        <v>789</v>
      </c>
      <c r="B80" s="309" t="s">
        <v>790</v>
      </c>
    </row>
    <row r="81" spans="1:2" x14ac:dyDescent="0.25">
      <c r="A81" s="16" t="s">
        <v>791</v>
      </c>
      <c r="B81" s="312" t="s">
        <v>792</v>
      </c>
    </row>
    <row r="82" spans="1:2" x14ac:dyDescent="0.25">
      <c r="A82" s="16" t="s">
        <v>793</v>
      </c>
      <c r="B82" s="309" t="s">
        <v>794</v>
      </c>
    </row>
    <row r="83" spans="1:2" x14ac:dyDescent="0.25">
      <c r="A83" s="16" t="s">
        <v>795</v>
      </c>
      <c r="B83" s="312" t="s">
        <v>796</v>
      </c>
    </row>
    <row r="84" spans="1:2" x14ac:dyDescent="0.25">
      <c r="A84" s="16" t="s">
        <v>797</v>
      </c>
      <c r="B84" s="309" t="s">
        <v>798</v>
      </c>
    </row>
    <row r="85" spans="1:2" x14ac:dyDescent="0.25">
      <c r="A85" s="16" t="s">
        <v>799</v>
      </c>
      <c r="B85" s="309" t="s">
        <v>800</v>
      </c>
    </row>
    <row r="86" spans="1:2" x14ac:dyDescent="0.25">
      <c r="A86" s="22" t="s">
        <v>801</v>
      </c>
      <c r="B86" s="312" t="s">
        <v>802</v>
      </c>
    </row>
    <row r="87" spans="1:2" x14ac:dyDescent="0.25">
      <c r="A87" s="16" t="s">
        <v>803</v>
      </c>
      <c r="B87" s="309" t="s">
        <v>804</v>
      </c>
    </row>
    <row r="88" spans="1:2" x14ac:dyDescent="0.25">
      <c r="A88" s="16" t="s">
        <v>805</v>
      </c>
      <c r="B88" s="309" t="s">
        <v>806</v>
      </c>
    </row>
    <row r="89" spans="1:2" x14ac:dyDescent="0.25">
      <c r="A89" s="16" t="s">
        <v>807</v>
      </c>
      <c r="B89" s="309" t="s">
        <v>808</v>
      </c>
    </row>
    <row r="90" spans="1:2" x14ac:dyDescent="0.25">
      <c r="A90" s="16" t="s">
        <v>6</v>
      </c>
      <c r="B90" s="309" t="s">
        <v>4472</v>
      </c>
    </row>
    <row r="91" spans="1:2" x14ac:dyDescent="0.25">
      <c r="A91" s="16" t="s">
        <v>809</v>
      </c>
      <c r="B91" s="309" t="s">
        <v>810</v>
      </c>
    </row>
    <row r="92" spans="1:2" x14ac:dyDescent="0.25">
      <c r="A92" s="16" t="s">
        <v>811</v>
      </c>
      <c r="B92" s="309" t="s">
        <v>812</v>
      </c>
    </row>
    <row r="93" spans="1:2" x14ac:dyDescent="0.25">
      <c r="A93" s="16" t="s">
        <v>813</v>
      </c>
      <c r="B93" s="309" t="s">
        <v>814</v>
      </c>
    </row>
    <row r="94" spans="1:2" x14ac:dyDescent="0.25">
      <c r="A94" s="16" t="s">
        <v>815</v>
      </c>
      <c r="B94" s="309" t="s">
        <v>816</v>
      </c>
    </row>
    <row r="95" spans="1:2" x14ac:dyDescent="0.25">
      <c r="A95" s="16" t="s">
        <v>817</v>
      </c>
      <c r="B95" s="309" t="s">
        <v>818</v>
      </c>
    </row>
    <row r="96" spans="1:2" x14ac:dyDescent="0.25">
      <c r="A96" s="16" t="s">
        <v>5</v>
      </c>
      <c r="B96" s="309" t="s">
        <v>4471</v>
      </c>
    </row>
    <row r="97" spans="1:2" x14ac:dyDescent="0.25">
      <c r="A97" s="16" t="s">
        <v>819</v>
      </c>
      <c r="B97" s="309" t="s">
        <v>820</v>
      </c>
    </row>
    <row r="98" spans="1:2" x14ac:dyDescent="0.25">
      <c r="A98" s="16" t="s">
        <v>821</v>
      </c>
      <c r="B98" s="309" t="s">
        <v>822</v>
      </c>
    </row>
    <row r="99" spans="1:2" x14ac:dyDescent="0.25">
      <c r="A99" s="16" t="s">
        <v>823</v>
      </c>
      <c r="B99" s="309" t="s">
        <v>617</v>
      </c>
    </row>
    <row r="100" spans="1:2" x14ac:dyDescent="0.25">
      <c r="A100" s="22" t="s">
        <v>824</v>
      </c>
      <c r="B100" s="312" t="s">
        <v>825</v>
      </c>
    </row>
    <row r="101" spans="1:2" x14ac:dyDescent="0.25">
      <c r="A101" s="16" t="s">
        <v>826</v>
      </c>
      <c r="B101" s="312" t="s">
        <v>827</v>
      </c>
    </row>
    <row r="102" spans="1:2" x14ac:dyDescent="0.25">
      <c r="A102" s="16" t="s">
        <v>828</v>
      </c>
      <c r="B102" s="309" t="s">
        <v>829</v>
      </c>
    </row>
    <row r="103" spans="1:2" x14ac:dyDescent="0.25">
      <c r="A103" s="16" t="s">
        <v>830</v>
      </c>
      <c r="B103" s="309" t="s">
        <v>831</v>
      </c>
    </row>
    <row r="104" spans="1:2" x14ac:dyDescent="0.25">
      <c r="A104" s="253" t="s">
        <v>832</v>
      </c>
      <c r="B104" s="314" t="s">
        <v>833</v>
      </c>
    </row>
    <row r="105" spans="1:2" x14ac:dyDescent="0.25">
      <c r="A105" s="16"/>
      <c r="B105" s="309"/>
    </row>
    <row r="106" spans="1:2" x14ac:dyDescent="0.25">
      <c r="A106" s="16"/>
      <c r="B106" s="309"/>
    </row>
  </sheetData>
  <sortState ref="A2:B103">
    <sortCondition ref="A2:A103"/>
  </sortState>
  <pageMargins left="0.70866141732283472" right="0.70866141732283472" top="0.78740157480314965" bottom="0.78740157480314965" header="0.31496062992125984" footer="0.31496062992125984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B541"/>
  <sheetViews>
    <sheetView showGridLines="0" showOutlineSymbols="0" topLeftCell="A175" workbookViewId="0">
      <selection activeCell="K180" sqref="K179:K180"/>
    </sheetView>
  </sheetViews>
  <sheetFormatPr defaultColWidth="1.28515625" defaultRowHeight="15" x14ac:dyDescent="0.25"/>
  <cols>
    <col min="1" max="1" width="5" style="113" bestFit="1" customWidth="1"/>
    <col min="2" max="2" width="123.140625" style="113" bestFit="1" customWidth="1"/>
    <col min="3" max="134" width="1.28515625" style="113"/>
    <col min="135" max="135" width="5" style="113" bestFit="1" customWidth="1"/>
    <col min="136" max="136" width="29.85546875" style="113" bestFit="1" customWidth="1"/>
    <col min="137" max="390" width="1.28515625" style="113"/>
    <col min="391" max="391" width="5" style="113" bestFit="1" customWidth="1"/>
    <col min="392" max="392" width="29.85546875" style="113" bestFit="1" customWidth="1"/>
    <col min="393" max="646" width="1.28515625" style="113"/>
    <col min="647" max="647" width="5" style="113" bestFit="1" customWidth="1"/>
    <col min="648" max="648" width="29.85546875" style="113" bestFit="1" customWidth="1"/>
    <col min="649" max="902" width="1.28515625" style="113"/>
    <col min="903" max="903" width="5" style="113" bestFit="1" customWidth="1"/>
    <col min="904" max="904" width="29.85546875" style="113" bestFit="1" customWidth="1"/>
    <col min="905" max="1158" width="1.28515625" style="113"/>
    <col min="1159" max="1159" width="5" style="113" bestFit="1" customWidth="1"/>
    <col min="1160" max="1160" width="29.85546875" style="113" bestFit="1" customWidth="1"/>
    <col min="1161" max="1414" width="1.28515625" style="113"/>
    <col min="1415" max="1415" width="5" style="113" bestFit="1" customWidth="1"/>
    <col min="1416" max="1416" width="29.85546875" style="113" bestFit="1" customWidth="1"/>
    <col min="1417" max="1670" width="1.28515625" style="113"/>
    <col min="1671" max="1671" width="5" style="113" bestFit="1" customWidth="1"/>
    <col min="1672" max="1672" width="29.85546875" style="113" bestFit="1" customWidth="1"/>
    <col min="1673" max="1926" width="1.28515625" style="113"/>
    <col min="1927" max="1927" width="5" style="113" bestFit="1" customWidth="1"/>
    <col min="1928" max="1928" width="29.85546875" style="113" bestFit="1" customWidth="1"/>
    <col min="1929" max="2182" width="1.28515625" style="113"/>
    <col min="2183" max="2183" width="5" style="113" bestFit="1" customWidth="1"/>
    <col min="2184" max="2184" width="29.85546875" style="113" bestFit="1" customWidth="1"/>
    <col min="2185" max="2438" width="1.28515625" style="113"/>
    <col min="2439" max="2439" width="5" style="113" bestFit="1" customWidth="1"/>
    <col min="2440" max="2440" width="29.85546875" style="113" bestFit="1" customWidth="1"/>
    <col min="2441" max="2694" width="1.28515625" style="113"/>
    <col min="2695" max="2695" width="5" style="113" bestFit="1" customWidth="1"/>
    <col min="2696" max="2696" width="29.85546875" style="113" bestFit="1" customWidth="1"/>
    <col min="2697" max="2950" width="1.28515625" style="113"/>
    <col min="2951" max="2951" width="5" style="113" bestFit="1" customWidth="1"/>
    <col min="2952" max="2952" width="29.85546875" style="113" bestFit="1" customWidth="1"/>
    <col min="2953" max="3206" width="1.28515625" style="113"/>
    <col min="3207" max="3207" width="5" style="113" bestFit="1" customWidth="1"/>
    <col min="3208" max="3208" width="29.85546875" style="113" bestFit="1" customWidth="1"/>
    <col min="3209" max="3462" width="1.28515625" style="113"/>
    <col min="3463" max="3463" width="5" style="113" bestFit="1" customWidth="1"/>
    <col min="3464" max="3464" width="29.85546875" style="113" bestFit="1" customWidth="1"/>
    <col min="3465" max="3718" width="1.28515625" style="113"/>
    <col min="3719" max="3719" width="5" style="113" bestFit="1" customWidth="1"/>
    <col min="3720" max="3720" width="29.85546875" style="113" bestFit="1" customWidth="1"/>
    <col min="3721" max="3974" width="1.28515625" style="113"/>
    <col min="3975" max="3975" width="5" style="113" bestFit="1" customWidth="1"/>
    <col min="3976" max="3976" width="29.85546875" style="113" bestFit="1" customWidth="1"/>
    <col min="3977" max="4230" width="1.28515625" style="113"/>
    <col min="4231" max="4231" width="5" style="113" bestFit="1" customWidth="1"/>
    <col min="4232" max="4232" width="29.85546875" style="113" bestFit="1" customWidth="1"/>
    <col min="4233" max="4486" width="1.28515625" style="113"/>
    <col min="4487" max="4487" width="5" style="113" bestFit="1" customWidth="1"/>
    <col min="4488" max="4488" width="29.85546875" style="113" bestFit="1" customWidth="1"/>
    <col min="4489" max="4742" width="1.28515625" style="113"/>
    <col min="4743" max="4743" width="5" style="113" bestFit="1" customWidth="1"/>
    <col min="4744" max="4744" width="29.85546875" style="113" bestFit="1" customWidth="1"/>
    <col min="4745" max="4998" width="1.28515625" style="113"/>
    <col min="4999" max="4999" width="5" style="113" bestFit="1" customWidth="1"/>
    <col min="5000" max="5000" width="29.85546875" style="113" bestFit="1" customWidth="1"/>
    <col min="5001" max="5254" width="1.28515625" style="113"/>
    <col min="5255" max="5255" width="5" style="113" bestFit="1" customWidth="1"/>
    <col min="5256" max="5256" width="29.85546875" style="113" bestFit="1" customWidth="1"/>
    <col min="5257" max="5510" width="1.28515625" style="113"/>
    <col min="5511" max="5511" width="5" style="113" bestFit="1" customWidth="1"/>
    <col min="5512" max="5512" width="29.85546875" style="113" bestFit="1" customWidth="1"/>
    <col min="5513" max="5766" width="1.28515625" style="113"/>
    <col min="5767" max="5767" width="5" style="113" bestFit="1" customWidth="1"/>
    <col min="5768" max="5768" width="29.85546875" style="113" bestFit="1" customWidth="1"/>
    <col min="5769" max="6022" width="1.28515625" style="113"/>
    <col min="6023" max="6023" width="5" style="113" bestFit="1" customWidth="1"/>
    <col min="6024" max="6024" width="29.85546875" style="113" bestFit="1" customWidth="1"/>
    <col min="6025" max="6278" width="1.28515625" style="113"/>
    <col min="6279" max="6279" width="5" style="113" bestFit="1" customWidth="1"/>
    <col min="6280" max="6280" width="29.85546875" style="113" bestFit="1" customWidth="1"/>
    <col min="6281" max="6534" width="1.28515625" style="113"/>
    <col min="6535" max="6535" width="5" style="113" bestFit="1" customWidth="1"/>
    <col min="6536" max="6536" width="29.85546875" style="113" bestFit="1" customWidth="1"/>
    <col min="6537" max="6790" width="1.28515625" style="113"/>
    <col min="6791" max="6791" width="5" style="113" bestFit="1" customWidth="1"/>
    <col min="6792" max="6792" width="29.85546875" style="113" bestFit="1" customWidth="1"/>
    <col min="6793" max="7046" width="1.28515625" style="113"/>
    <col min="7047" max="7047" width="5" style="113" bestFit="1" customWidth="1"/>
    <col min="7048" max="7048" width="29.85546875" style="113" bestFit="1" customWidth="1"/>
    <col min="7049" max="7302" width="1.28515625" style="113"/>
    <col min="7303" max="7303" width="5" style="113" bestFit="1" customWidth="1"/>
    <col min="7304" max="7304" width="29.85546875" style="113" bestFit="1" customWidth="1"/>
    <col min="7305" max="7558" width="1.28515625" style="113"/>
    <col min="7559" max="7559" width="5" style="113" bestFit="1" customWidth="1"/>
    <col min="7560" max="7560" width="29.85546875" style="113" bestFit="1" customWidth="1"/>
    <col min="7561" max="7814" width="1.28515625" style="113"/>
    <col min="7815" max="7815" width="5" style="113" bestFit="1" customWidth="1"/>
    <col min="7816" max="7816" width="29.85546875" style="113" bestFit="1" customWidth="1"/>
    <col min="7817" max="8070" width="1.28515625" style="113"/>
    <col min="8071" max="8071" width="5" style="113" bestFit="1" customWidth="1"/>
    <col min="8072" max="8072" width="29.85546875" style="113" bestFit="1" customWidth="1"/>
    <col min="8073" max="8326" width="1.28515625" style="113"/>
    <col min="8327" max="8327" width="5" style="113" bestFit="1" customWidth="1"/>
    <col min="8328" max="8328" width="29.85546875" style="113" bestFit="1" customWidth="1"/>
    <col min="8329" max="8582" width="1.28515625" style="113"/>
    <col min="8583" max="8583" width="5" style="113" bestFit="1" customWidth="1"/>
    <col min="8584" max="8584" width="29.85546875" style="113" bestFit="1" customWidth="1"/>
    <col min="8585" max="8838" width="1.28515625" style="113"/>
    <col min="8839" max="8839" width="5" style="113" bestFit="1" customWidth="1"/>
    <col min="8840" max="8840" width="29.85546875" style="113" bestFit="1" customWidth="1"/>
    <col min="8841" max="9094" width="1.28515625" style="113"/>
    <col min="9095" max="9095" width="5" style="113" bestFit="1" customWidth="1"/>
    <col min="9096" max="9096" width="29.85546875" style="113" bestFit="1" customWidth="1"/>
    <col min="9097" max="9350" width="1.28515625" style="113"/>
    <col min="9351" max="9351" width="5" style="113" bestFit="1" customWidth="1"/>
    <col min="9352" max="9352" width="29.85546875" style="113" bestFit="1" customWidth="1"/>
    <col min="9353" max="9606" width="1.28515625" style="113"/>
    <col min="9607" max="9607" width="5" style="113" bestFit="1" customWidth="1"/>
    <col min="9608" max="9608" width="29.85546875" style="113" bestFit="1" customWidth="1"/>
    <col min="9609" max="9862" width="1.28515625" style="113"/>
    <col min="9863" max="9863" width="5" style="113" bestFit="1" customWidth="1"/>
    <col min="9864" max="9864" width="29.85546875" style="113" bestFit="1" customWidth="1"/>
    <col min="9865" max="10118" width="1.28515625" style="113"/>
    <col min="10119" max="10119" width="5" style="113" bestFit="1" customWidth="1"/>
    <col min="10120" max="10120" width="29.85546875" style="113" bestFit="1" customWidth="1"/>
    <col min="10121" max="10374" width="1.28515625" style="113"/>
    <col min="10375" max="10375" width="5" style="113" bestFit="1" customWidth="1"/>
    <col min="10376" max="10376" width="29.85546875" style="113" bestFit="1" customWidth="1"/>
    <col min="10377" max="10630" width="1.28515625" style="113"/>
    <col min="10631" max="10631" width="5" style="113" bestFit="1" customWidth="1"/>
    <col min="10632" max="10632" width="29.85546875" style="113" bestFit="1" customWidth="1"/>
    <col min="10633" max="10886" width="1.28515625" style="113"/>
    <col min="10887" max="10887" width="5" style="113" bestFit="1" customWidth="1"/>
    <col min="10888" max="10888" width="29.85546875" style="113" bestFit="1" customWidth="1"/>
    <col min="10889" max="11142" width="1.28515625" style="113"/>
    <col min="11143" max="11143" width="5" style="113" bestFit="1" customWidth="1"/>
    <col min="11144" max="11144" width="29.85546875" style="113" bestFit="1" customWidth="1"/>
    <col min="11145" max="11398" width="1.28515625" style="113"/>
    <col min="11399" max="11399" width="5" style="113" bestFit="1" customWidth="1"/>
    <col min="11400" max="11400" width="29.85546875" style="113" bestFit="1" customWidth="1"/>
    <col min="11401" max="11654" width="1.28515625" style="113"/>
    <col min="11655" max="11655" width="5" style="113" bestFit="1" customWidth="1"/>
    <col min="11656" max="11656" width="29.85546875" style="113" bestFit="1" customWidth="1"/>
    <col min="11657" max="11910" width="1.28515625" style="113"/>
    <col min="11911" max="11911" width="5" style="113" bestFit="1" customWidth="1"/>
    <col min="11912" max="11912" width="29.85546875" style="113" bestFit="1" customWidth="1"/>
    <col min="11913" max="12166" width="1.28515625" style="113"/>
    <col min="12167" max="12167" width="5" style="113" bestFit="1" customWidth="1"/>
    <col min="12168" max="12168" width="29.85546875" style="113" bestFit="1" customWidth="1"/>
    <col min="12169" max="12422" width="1.28515625" style="113"/>
    <col min="12423" max="12423" width="5" style="113" bestFit="1" customWidth="1"/>
    <col min="12424" max="12424" width="29.85546875" style="113" bestFit="1" customWidth="1"/>
    <col min="12425" max="12678" width="1.28515625" style="113"/>
    <col min="12679" max="12679" width="5" style="113" bestFit="1" customWidth="1"/>
    <col min="12680" max="12680" width="29.85546875" style="113" bestFit="1" customWidth="1"/>
    <col min="12681" max="12934" width="1.28515625" style="113"/>
    <col min="12935" max="12935" width="5" style="113" bestFit="1" customWidth="1"/>
    <col min="12936" max="12936" width="29.85546875" style="113" bestFit="1" customWidth="1"/>
    <col min="12937" max="13190" width="1.28515625" style="113"/>
    <col min="13191" max="13191" width="5" style="113" bestFit="1" customWidth="1"/>
    <col min="13192" max="13192" width="29.85546875" style="113" bestFit="1" customWidth="1"/>
    <col min="13193" max="13446" width="1.28515625" style="113"/>
    <col min="13447" max="13447" width="5" style="113" bestFit="1" customWidth="1"/>
    <col min="13448" max="13448" width="29.85546875" style="113" bestFit="1" customWidth="1"/>
    <col min="13449" max="13702" width="1.28515625" style="113"/>
    <col min="13703" max="13703" width="5" style="113" bestFit="1" customWidth="1"/>
    <col min="13704" max="13704" width="29.85546875" style="113" bestFit="1" customWidth="1"/>
    <col min="13705" max="13958" width="1.28515625" style="113"/>
    <col min="13959" max="13959" width="5" style="113" bestFit="1" customWidth="1"/>
    <col min="13960" max="13960" width="29.85546875" style="113" bestFit="1" customWidth="1"/>
    <col min="13961" max="14214" width="1.28515625" style="113"/>
    <col min="14215" max="14215" width="5" style="113" bestFit="1" customWidth="1"/>
    <col min="14216" max="14216" width="29.85546875" style="113" bestFit="1" customWidth="1"/>
    <col min="14217" max="14470" width="1.28515625" style="113"/>
    <col min="14471" max="14471" width="5" style="113" bestFit="1" customWidth="1"/>
    <col min="14472" max="14472" width="29.85546875" style="113" bestFit="1" customWidth="1"/>
    <col min="14473" max="14726" width="1.28515625" style="113"/>
    <col min="14727" max="14727" width="5" style="113" bestFit="1" customWidth="1"/>
    <col min="14728" max="14728" width="29.85546875" style="113" bestFit="1" customWidth="1"/>
    <col min="14729" max="14982" width="1.28515625" style="113"/>
    <col min="14983" max="14983" width="5" style="113" bestFit="1" customWidth="1"/>
    <col min="14984" max="14984" width="29.85546875" style="113" bestFit="1" customWidth="1"/>
    <col min="14985" max="15238" width="1.28515625" style="113"/>
    <col min="15239" max="15239" width="5" style="113" bestFit="1" customWidth="1"/>
    <col min="15240" max="15240" width="29.85546875" style="113" bestFit="1" customWidth="1"/>
    <col min="15241" max="15494" width="1.28515625" style="113"/>
    <col min="15495" max="15495" width="5" style="113" bestFit="1" customWidth="1"/>
    <col min="15496" max="15496" width="29.85546875" style="113" bestFit="1" customWidth="1"/>
    <col min="15497" max="15750" width="1.28515625" style="113"/>
    <col min="15751" max="15751" width="5" style="113" bestFit="1" customWidth="1"/>
    <col min="15752" max="15752" width="29.85546875" style="113" bestFit="1" customWidth="1"/>
    <col min="15753" max="16006" width="1.28515625" style="113"/>
    <col min="16007" max="16007" width="5" style="113" bestFit="1" customWidth="1"/>
    <col min="16008" max="16008" width="29.85546875" style="113" bestFit="1" customWidth="1"/>
    <col min="16009" max="16384" width="1.28515625" style="113"/>
  </cols>
  <sheetData>
    <row r="1" spans="1:2" x14ac:dyDescent="0.25">
      <c r="A1" s="112" t="s">
        <v>631</v>
      </c>
      <c r="B1" s="112" t="s">
        <v>834</v>
      </c>
    </row>
    <row r="2" spans="1:2" x14ac:dyDescent="0.25">
      <c r="A2" s="114">
        <v>1111</v>
      </c>
      <c r="B2" s="115" t="s">
        <v>3913</v>
      </c>
    </row>
    <row r="3" spans="1:2" x14ac:dyDescent="0.25">
      <c r="A3" s="114">
        <v>1112</v>
      </c>
      <c r="B3" s="115" t="s">
        <v>3914</v>
      </c>
    </row>
    <row r="4" spans="1:2" x14ac:dyDescent="0.25">
      <c r="A4" s="114">
        <v>1113</v>
      </c>
      <c r="B4" s="115" t="s">
        <v>3915</v>
      </c>
    </row>
    <row r="5" spans="1:2" x14ac:dyDescent="0.25">
      <c r="A5" s="114">
        <v>1119</v>
      </c>
      <c r="B5" s="115" t="s">
        <v>3916</v>
      </c>
    </row>
    <row r="6" spans="1:2" x14ac:dyDescent="0.25">
      <c r="A6" s="114">
        <v>1121</v>
      </c>
      <c r="B6" s="115" t="s">
        <v>835</v>
      </c>
    </row>
    <row r="7" spans="1:2" x14ac:dyDescent="0.25">
      <c r="A7" s="114">
        <v>1122</v>
      </c>
      <c r="B7" s="115" t="s">
        <v>3917</v>
      </c>
    </row>
    <row r="8" spans="1:2" x14ac:dyDescent="0.25">
      <c r="A8" s="114">
        <v>1123</v>
      </c>
      <c r="B8" s="115" t="s">
        <v>3918</v>
      </c>
    </row>
    <row r="9" spans="1:2" x14ac:dyDescent="0.25">
      <c r="A9" s="114">
        <v>1129</v>
      </c>
      <c r="B9" s="115" t="s">
        <v>3919</v>
      </c>
    </row>
    <row r="10" spans="1:2" x14ac:dyDescent="0.25">
      <c r="A10" s="114">
        <v>1211</v>
      </c>
      <c r="B10" s="115" t="s">
        <v>836</v>
      </c>
    </row>
    <row r="11" spans="1:2" x14ac:dyDescent="0.25">
      <c r="A11" s="114">
        <v>1219</v>
      </c>
      <c r="B11" s="115" t="s">
        <v>837</v>
      </c>
    </row>
    <row r="12" spans="1:2" x14ac:dyDescent="0.25">
      <c r="A12" s="114">
        <v>1221</v>
      </c>
      <c r="B12" s="115" t="s">
        <v>3920</v>
      </c>
    </row>
    <row r="13" spans="1:2" x14ac:dyDescent="0.25">
      <c r="A13" s="114">
        <v>1222</v>
      </c>
      <c r="B13" s="115" t="s">
        <v>838</v>
      </c>
    </row>
    <row r="14" spans="1:2" x14ac:dyDescent="0.25">
      <c r="A14" s="114">
        <v>1223</v>
      </c>
      <c r="B14" s="115" t="s">
        <v>839</v>
      </c>
    </row>
    <row r="15" spans="1:2" x14ac:dyDescent="0.25">
      <c r="A15" s="114">
        <v>1224</v>
      </c>
      <c r="B15" s="115" t="s">
        <v>3921</v>
      </c>
    </row>
    <row r="16" spans="1:2" x14ac:dyDescent="0.25">
      <c r="A16" s="114">
        <v>1225</v>
      </c>
      <c r="B16" s="115" t="s">
        <v>3922</v>
      </c>
    </row>
    <row r="17" spans="1:2" x14ac:dyDescent="0.25">
      <c r="A17" s="114">
        <v>1226</v>
      </c>
      <c r="B17" s="115" t="s">
        <v>3923</v>
      </c>
    </row>
    <row r="18" spans="1:2" x14ac:dyDescent="0.25">
      <c r="A18" s="114">
        <v>1227</v>
      </c>
      <c r="B18" s="115" t="s">
        <v>3924</v>
      </c>
    </row>
    <row r="19" spans="1:2" x14ac:dyDescent="0.25">
      <c r="A19" s="114">
        <v>1228</v>
      </c>
      <c r="B19" s="115" t="s">
        <v>3925</v>
      </c>
    </row>
    <row r="20" spans="1:2" x14ac:dyDescent="0.25">
      <c r="A20" s="114">
        <v>1229</v>
      </c>
      <c r="B20" s="115" t="s">
        <v>3926</v>
      </c>
    </row>
    <row r="21" spans="1:2" x14ac:dyDescent="0.25">
      <c r="A21" s="114">
        <v>1231</v>
      </c>
      <c r="B21" s="115" t="s">
        <v>3927</v>
      </c>
    </row>
    <row r="22" spans="1:2" x14ac:dyDescent="0.25">
      <c r="A22" s="114">
        <v>1232</v>
      </c>
      <c r="B22" s="115" t="s">
        <v>3928</v>
      </c>
    </row>
    <row r="23" spans="1:2" x14ac:dyDescent="0.25">
      <c r="A23" s="114">
        <v>1233</v>
      </c>
      <c r="B23" s="115" t="s">
        <v>3929</v>
      </c>
    </row>
    <row r="24" spans="1:2" x14ac:dyDescent="0.25">
      <c r="A24" s="114">
        <v>1234</v>
      </c>
      <c r="B24" s="115" t="s">
        <v>3930</v>
      </c>
    </row>
    <row r="25" spans="1:2" x14ac:dyDescent="0.25">
      <c r="A25" s="114">
        <v>1235</v>
      </c>
      <c r="B25" s="115" t="s">
        <v>3931</v>
      </c>
    </row>
    <row r="26" spans="1:2" x14ac:dyDescent="0.25">
      <c r="A26" s="114">
        <v>1321</v>
      </c>
      <c r="B26" s="115" t="s">
        <v>840</v>
      </c>
    </row>
    <row r="27" spans="1:2" x14ac:dyDescent="0.25">
      <c r="A27" s="114">
        <v>1322</v>
      </c>
      <c r="B27" s="115" t="s">
        <v>3932</v>
      </c>
    </row>
    <row r="28" spans="1:2" x14ac:dyDescent="0.25">
      <c r="A28" s="114">
        <v>1331</v>
      </c>
      <c r="B28" s="115" t="s">
        <v>3933</v>
      </c>
    </row>
    <row r="29" spans="1:2" x14ac:dyDescent="0.25">
      <c r="A29" s="114">
        <v>1332</v>
      </c>
      <c r="B29" s="115" t="s">
        <v>3934</v>
      </c>
    </row>
    <row r="30" spans="1:2" x14ac:dyDescent="0.25">
      <c r="A30" s="114">
        <v>1333</v>
      </c>
      <c r="B30" s="115" t="s">
        <v>841</v>
      </c>
    </row>
    <row r="31" spans="1:2" x14ac:dyDescent="0.25">
      <c r="A31" s="114">
        <v>1334</v>
      </c>
      <c r="B31" s="115" t="s">
        <v>3935</v>
      </c>
    </row>
    <row r="32" spans="1:2" x14ac:dyDescent="0.25">
      <c r="A32" s="114">
        <v>1335</v>
      </c>
      <c r="B32" s="115" t="s">
        <v>3936</v>
      </c>
    </row>
    <row r="33" spans="1:2" x14ac:dyDescent="0.25">
      <c r="A33" s="114">
        <v>1336</v>
      </c>
      <c r="B33" s="115" t="s">
        <v>3937</v>
      </c>
    </row>
    <row r="34" spans="1:2" x14ac:dyDescent="0.25">
      <c r="A34" s="114">
        <v>1337</v>
      </c>
      <c r="B34" s="115" t="s">
        <v>842</v>
      </c>
    </row>
    <row r="35" spans="1:2" x14ac:dyDescent="0.25">
      <c r="A35" s="114">
        <v>1338</v>
      </c>
      <c r="B35" s="115" t="s">
        <v>3938</v>
      </c>
    </row>
    <row r="36" spans="1:2" x14ac:dyDescent="0.25">
      <c r="A36" s="114">
        <v>1339</v>
      </c>
      <c r="B36" s="115" t="s">
        <v>3939</v>
      </c>
    </row>
    <row r="37" spans="1:2" x14ac:dyDescent="0.25">
      <c r="A37" s="114">
        <v>1340</v>
      </c>
      <c r="B37" s="115" t="s">
        <v>3940</v>
      </c>
    </row>
    <row r="38" spans="1:2" x14ac:dyDescent="0.25">
      <c r="A38" s="114">
        <v>1341</v>
      </c>
      <c r="B38" s="115" t="s">
        <v>67</v>
      </c>
    </row>
    <row r="39" spans="1:2" x14ac:dyDescent="0.25">
      <c r="A39" s="114">
        <v>1342</v>
      </c>
      <c r="B39" s="115" t="s">
        <v>2786</v>
      </c>
    </row>
    <row r="40" spans="1:2" x14ac:dyDescent="0.25">
      <c r="A40" s="114">
        <v>1343</v>
      </c>
      <c r="B40" s="115" t="s">
        <v>3941</v>
      </c>
    </row>
    <row r="41" spans="1:2" x14ac:dyDescent="0.25">
      <c r="A41" s="114">
        <v>1344</v>
      </c>
      <c r="B41" s="115" t="s">
        <v>843</v>
      </c>
    </row>
    <row r="42" spans="1:2" x14ac:dyDescent="0.25">
      <c r="A42" s="114">
        <v>1346</v>
      </c>
      <c r="B42" s="115" t="s">
        <v>3942</v>
      </c>
    </row>
    <row r="43" spans="1:2" x14ac:dyDescent="0.25">
      <c r="A43" s="114">
        <v>1348</v>
      </c>
      <c r="B43" s="115" t="s">
        <v>3943</v>
      </c>
    </row>
    <row r="44" spans="1:2" x14ac:dyDescent="0.25">
      <c r="A44" s="114">
        <v>1349</v>
      </c>
      <c r="B44" s="116" t="s">
        <v>844</v>
      </c>
    </row>
    <row r="45" spans="1:2" x14ac:dyDescent="0.25">
      <c r="A45" s="114">
        <v>1353</v>
      </c>
      <c r="B45" s="116" t="s">
        <v>3944</v>
      </c>
    </row>
    <row r="46" spans="1:2" x14ac:dyDescent="0.25">
      <c r="A46" s="114">
        <v>1354</v>
      </c>
      <c r="B46" s="115" t="s">
        <v>3945</v>
      </c>
    </row>
    <row r="47" spans="1:2" x14ac:dyDescent="0.25">
      <c r="A47" s="114">
        <v>1356</v>
      </c>
      <c r="B47" s="115" t="s">
        <v>3946</v>
      </c>
    </row>
    <row r="48" spans="1:2" x14ac:dyDescent="0.25">
      <c r="A48" s="114">
        <v>1357</v>
      </c>
      <c r="B48" s="116" t="s">
        <v>3947</v>
      </c>
    </row>
    <row r="49" spans="1:2" x14ac:dyDescent="0.25">
      <c r="A49" s="115">
        <v>1358</v>
      </c>
      <c r="B49" s="115" t="s">
        <v>3948</v>
      </c>
    </row>
    <row r="50" spans="1:2" x14ac:dyDescent="0.25">
      <c r="A50" s="115">
        <v>1359</v>
      </c>
      <c r="B50" s="115" t="s">
        <v>3949</v>
      </c>
    </row>
    <row r="51" spans="1:2" x14ac:dyDescent="0.25">
      <c r="A51" s="115">
        <v>1361</v>
      </c>
      <c r="B51" s="115" t="s">
        <v>845</v>
      </c>
    </row>
    <row r="52" spans="1:2" x14ac:dyDescent="0.25">
      <c r="A52" s="114">
        <v>1362</v>
      </c>
      <c r="B52" s="115" t="s">
        <v>3950</v>
      </c>
    </row>
    <row r="53" spans="1:2" x14ac:dyDescent="0.25">
      <c r="A53" s="114">
        <v>1371</v>
      </c>
      <c r="B53" s="115" t="s">
        <v>3951</v>
      </c>
    </row>
    <row r="54" spans="1:2" x14ac:dyDescent="0.25">
      <c r="A54" s="114">
        <v>1372</v>
      </c>
      <c r="B54" s="115" t="s">
        <v>3952</v>
      </c>
    </row>
    <row r="55" spans="1:2" x14ac:dyDescent="0.25">
      <c r="A55" s="114">
        <v>1373</v>
      </c>
      <c r="B55" s="115" t="s">
        <v>3953</v>
      </c>
    </row>
    <row r="56" spans="1:2" x14ac:dyDescent="0.25">
      <c r="A56" s="114">
        <v>1379</v>
      </c>
      <c r="B56" s="115" t="s">
        <v>3954</v>
      </c>
    </row>
    <row r="57" spans="1:2" x14ac:dyDescent="0.25">
      <c r="A57" s="114">
        <v>1381</v>
      </c>
      <c r="B57" s="115" t="s">
        <v>3955</v>
      </c>
    </row>
    <row r="58" spans="1:2" x14ac:dyDescent="0.25">
      <c r="A58" s="114">
        <v>1382</v>
      </c>
      <c r="B58" s="115" t="s">
        <v>3956</v>
      </c>
    </row>
    <row r="59" spans="1:2" x14ac:dyDescent="0.25">
      <c r="A59" s="114">
        <v>1383</v>
      </c>
      <c r="B59" s="115" t="s">
        <v>3957</v>
      </c>
    </row>
    <row r="60" spans="1:2" x14ac:dyDescent="0.25">
      <c r="A60" s="114">
        <v>1384</v>
      </c>
      <c r="B60" s="115" t="s">
        <v>3958</v>
      </c>
    </row>
    <row r="61" spans="1:2" x14ac:dyDescent="0.25">
      <c r="A61" s="114">
        <v>1385</v>
      </c>
      <c r="B61" s="115" t="s">
        <v>65</v>
      </c>
    </row>
    <row r="62" spans="1:2" x14ac:dyDescent="0.25">
      <c r="A62" s="114">
        <v>1401</v>
      </c>
      <c r="B62" s="115" t="s">
        <v>846</v>
      </c>
    </row>
    <row r="63" spans="1:2" x14ac:dyDescent="0.25">
      <c r="A63" s="114">
        <v>1409</v>
      </c>
      <c r="B63" s="115" t="s">
        <v>3959</v>
      </c>
    </row>
    <row r="64" spans="1:2" x14ac:dyDescent="0.25">
      <c r="A64" s="114">
        <v>1511</v>
      </c>
      <c r="B64" s="115" t="s">
        <v>3960</v>
      </c>
    </row>
    <row r="65" spans="1:2" x14ac:dyDescent="0.25">
      <c r="A65" s="114">
        <v>1521</v>
      </c>
      <c r="B65" s="115" t="s">
        <v>848</v>
      </c>
    </row>
    <row r="66" spans="1:2" x14ac:dyDescent="0.25">
      <c r="A66" s="114">
        <v>1522</v>
      </c>
      <c r="B66" s="115" t="s">
        <v>849</v>
      </c>
    </row>
    <row r="67" spans="1:2" x14ac:dyDescent="0.25">
      <c r="A67" s="114">
        <v>1523</v>
      </c>
      <c r="B67" s="115" t="s">
        <v>3961</v>
      </c>
    </row>
    <row r="68" spans="1:2" x14ac:dyDescent="0.25">
      <c r="A68" s="114">
        <v>1529</v>
      </c>
      <c r="B68" s="115" t="s">
        <v>3962</v>
      </c>
    </row>
    <row r="69" spans="1:2" x14ac:dyDescent="0.25">
      <c r="A69" s="114">
        <v>1611</v>
      </c>
      <c r="B69" s="115" t="s">
        <v>3963</v>
      </c>
    </row>
    <row r="70" spans="1:2" x14ac:dyDescent="0.25">
      <c r="A70" s="114">
        <v>1612</v>
      </c>
      <c r="B70" s="115" t="s">
        <v>3964</v>
      </c>
    </row>
    <row r="71" spans="1:2" x14ac:dyDescent="0.25">
      <c r="A71" s="114">
        <v>1613</v>
      </c>
      <c r="B71" s="115" t="s">
        <v>3965</v>
      </c>
    </row>
    <row r="72" spans="1:2" x14ac:dyDescent="0.25">
      <c r="A72" s="114">
        <v>1614</v>
      </c>
      <c r="B72" s="115" t="s">
        <v>3966</v>
      </c>
    </row>
    <row r="73" spans="1:2" x14ac:dyDescent="0.25">
      <c r="A73" s="114">
        <v>1617</v>
      </c>
      <c r="B73" s="115" t="s">
        <v>3967</v>
      </c>
    </row>
    <row r="74" spans="1:2" x14ac:dyDescent="0.25">
      <c r="A74" s="114">
        <v>1618</v>
      </c>
      <c r="B74" s="115" t="s">
        <v>3968</v>
      </c>
    </row>
    <row r="75" spans="1:2" x14ac:dyDescent="0.25">
      <c r="A75" s="115">
        <v>1627</v>
      </c>
      <c r="B75" s="115" t="s">
        <v>850</v>
      </c>
    </row>
    <row r="76" spans="1:2" x14ac:dyDescent="0.25">
      <c r="A76" s="115">
        <v>1628</v>
      </c>
      <c r="B76" s="115" t="s">
        <v>851</v>
      </c>
    </row>
    <row r="77" spans="1:2" x14ac:dyDescent="0.25">
      <c r="A77" s="115">
        <v>1629</v>
      </c>
      <c r="B77" s="115" t="s">
        <v>3969</v>
      </c>
    </row>
    <row r="78" spans="1:2" x14ac:dyDescent="0.25">
      <c r="A78" s="115">
        <v>1691</v>
      </c>
      <c r="B78" s="115" t="s">
        <v>3970</v>
      </c>
    </row>
    <row r="79" spans="1:2" x14ac:dyDescent="0.25">
      <c r="A79" s="115">
        <v>1701</v>
      </c>
      <c r="B79" s="115" t="s">
        <v>3971</v>
      </c>
    </row>
    <row r="80" spans="1:2" x14ac:dyDescent="0.25">
      <c r="A80" s="115">
        <v>1702</v>
      </c>
      <c r="B80" s="115" t="s">
        <v>852</v>
      </c>
    </row>
    <row r="81" spans="1:2" x14ac:dyDescent="0.25">
      <c r="A81" s="114">
        <v>1703</v>
      </c>
      <c r="B81" s="115" t="s">
        <v>3972</v>
      </c>
    </row>
    <row r="82" spans="1:2" x14ac:dyDescent="0.25">
      <c r="A82" s="114">
        <v>1704</v>
      </c>
      <c r="B82" s="115" t="s">
        <v>853</v>
      </c>
    </row>
    <row r="83" spans="1:2" x14ac:dyDescent="0.25">
      <c r="A83" s="114">
        <v>1706</v>
      </c>
      <c r="B83" s="115" t="s">
        <v>855</v>
      </c>
    </row>
    <row r="84" spans="1:2" x14ac:dyDescent="0.25">
      <c r="A84" s="114">
        <v>2111</v>
      </c>
      <c r="B84" s="115" t="s">
        <v>3973</v>
      </c>
    </row>
    <row r="85" spans="1:2" x14ac:dyDescent="0.25">
      <c r="A85" s="114">
        <v>2112</v>
      </c>
      <c r="B85" s="115" t="s">
        <v>3974</v>
      </c>
    </row>
    <row r="86" spans="1:2" x14ac:dyDescent="0.25">
      <c r="A86" s="114">
        <v>2113</v>
      </c>
      <c r="B86" s="115" t="s">
        <v>857</v>
      </c>
    </row>
    <row r="87" spans="1:2" x14ac:dyDescent="0.25">
      <c r="A87" s="114">
        <v>2114</v>
      </c>
      <c r="B87" s="115" t="s">
        <v>858</v>
      </c>
    </row>
    <row r="88" spans="1:2" x14ac:dyDescent="0.25">
      <c r="A88" s="114">
        <v>2115</v>
      </c>
      <c r="B88" s="115" t="s">
        <v>3975</v>
      </c>
    </row>
    <row r="89" spans="1:2" x14ac:dyDescent="0.25">
      <c r="A89" s="114">
        <v>2119</v>
      </c>
      <c r="B89" s="115" t="s">
        <v>3976</v>
      </c>
    </row>
    <row r="90" spans="1:2" x14ac:dyDescent="0.25">
      <c r="A90" s="114">
        <v>2121</v>
      </c>
      <c r="B90" s="115" t="s">
        <v>3977</v>
      </c>
    </row>
    <row r="91" spans="1:2" x14ac:dyDescent="0.25">
      <c r="A91" s="114">
        <v>2122</v>
      </c>
      <c r="B91" s="115" t="s">
        <v>3978</v>
      </c>
    </row>
    <row r="92" spans="1:2" x14ac:dyDescent="0.25">
      <c r="A92" s="114">
        <v>2123</v>
      </c>
      <c r="B92" s="115" t="s">
        <v>3979</v>
      </c>
    </row>
    <row r="93" spans="1:2" x14ac:dyDescent="0.25">
      <c r="A93" s="114">
        <v>2124</v>
      </c>
      <c r="B93" s="115" t="s">
        <v>3980</v>
      </c>
    </row>
    <row r="94" spans="1:2" x14ac:dyDescent="0.25">
      <c r="A94" s="114">
        <v>2125</v>
      </c>
      <c r="B94" s="115" t="s">
        <v>3981</v>
      </c>
    </row>
    <row r="95" spans="1:2" x14ac:dyDescent="0.25">
      <c r="A95" s="114">
        <v>2129</v>
      </c>
      <c r="B95" s="115" t="s">
        <v>3982</v>
      </c>
    </row>
    <row r="96" spans="1:2" x14ac:dyDescent="0.25">
      <c r="A96" s="114">
        <v>2131</v>
      </c>
      <c r="B96" s="115" t="s">
        <v>859</v>
      </c>
    </row>
    <row r="97" spans="1:2" x14ac:dyDescent="0.25">
      <c r="A97" s="114">
        <v>2132</v>
      </c>
      <c r="B97" s="115" t="s">
        <v>3983</v>
      </c>
    </row>
    <row r="98" spans="1:2" x14ac:dyDescent="0.25">
      <c r="A98" s="114">
        <v>2133</v>
      </c>
      <c r="B98" s="115" t="s">
        <v>3984</v>
      </c>
    </row>
    <row r="99" spans="1:2" x14ac:dyDescent="0.25">
      <c r="A99" s="114">
        <v>2139</v>
      </c>
      <c r="B99" s="115" t="s">
        <v>3985</v>
      </c>
    </row>
    <row r="100" spans="1:2" x14ac:dyDescent="0.25">
      <c r="A100" s="114">
        <v>2140</v>
      </c>
      <c r="B100" s="115" t="s">
        <v>3986</v>
      </c>
    </row>
    <row r="101" spans="1:2" x14ac:dyDescent="0.25">
      <c r="A101" s="114">
        <v>2141</v>
      </c>
      <c r="B101" s="115" t="s">
        <v>51</v>
      </c>
    </row>
    <row r="102" spans="1:2" x14ac:dyDescent="0.25">
      <c r="A102" s="114">
        <v>2142</v>
      </c>
      <c r="B102" s="115" t="s">
        <v>3987</v>
      </c>
    </row>
    <row r="103" spans="1:2" x14ac:dyDescent="0.25">
      <c r="A103" s="114">
        <v>2143</v>
      </c>
      <c r="B103" s="115" t="s">
        <v>3988</v>
      </c>
    </row>
    <row r="104" spans="1:2" x14ac:dyDescent="0.25">
      <c r="A104" s="114">
        <v>2144</v>
      </c>
      <c r="B104" s="115" t="s">
        <v>3989</v>
      </c>
    </row>
    <row r="105" spans="1:2" x14ac:dyDescent="0.25">
      <c r="A105" s="114">
        <v>2145</v>
      </c>
      <c r="B105" s="115" t="s">
        <v>3990</v>
      </c>
    </row>
    <row r="106" spans="1:2" x14ac:dyDescent="0.25">
      <c r="A106" s="114">
        <v>2146</v>
      </c>
      <c r="B106" s="115" t="s">
        <v>3991</v>
      </c>
    </row>
    <row r="107" spans="1:2" x14ac:dyDescent="0.25">
      <c r="A107" s="114">
        <v>2147</v>
      </c>
      <c r="B107" s="115" t="s">
        <v>3992</v>
      </c>
    </row>
    <row r="108" spans="1:2" x14ac:dyDescent="0.25">
      <c r="A108" s="114">
        <v>2148</v>
      </c>
      <c r="B108" s="115" t="s">
        <v>3993</v>
      </c>
    </row>
    <row r="109" spans="1:2" x14ac:dyDescent="0.25">
      <c r="A109" s="114">
        <v>2149</v>
      </c>
      <c r="B109" s="115" t="s">
        <v>3994</v>
      </c>
    </row>
    <row r="110" spans="1:2" x14ac:dyDescent="0.25">
      <c r="A110" s="114">
        <v>2211</v>
      </c>
      <c r="B110" s="115" t="s">
        <v>3995</v>
      </c>
    </row>
    <row r="111" spans="1:2" x14ac:dyDescent="0.25">
      <c r="A111" s="114">
        <v>2212</v>
      </c>
      <c r="B111" s="115" t="s">
        <v>3996</v>
      </c>
    </row>
    <row r="112" spans="1:2" x14ac:dyDescent="0.25">
      <c r="A112" s="114">
        <v>2221</v>
      </c>
      <c r="B112" s="115" t="s">
        <v>3997</v>
      </c>
    </row>
    <row r="113" spans="1:2" x14ac:dyDescent="0.25">
      <c r="A113" s="114">
        <v>2222</v>
      </c>
      <c r="B113" s="115" t="s">
        <v>3998</v>
      </c>
    </row>
    <row r="114" spans="1:2" x14ac:dyDescent="0.25">
      <c r="A114" s="114">
        <v>2223</v>
      </c>
      <c r="B114" s="115" t="s">
        <v>3999</v>
      </c>
    </row>
    <row r="115" spans="1:2" x14ac:dyDescent="0.25">
      <c r="A115" s="114">
        <v>2224</v>
      </c>
      <c r="B115" s="115" t="s">
        <v>4000</v>
      </c>
    </row>
    <row r="116" spans="1:2" x14ac:dyDescent="0.25">
      <c r="A116" s="114">
        <v>2225</v>
      </c>
      <c r="B116" s="115" t="s">
        <v>4001</v>
      </c>
    </row>
    <row r="117" spans="1:2" x14ac:dyDescent="0.25">
      <c r="A117" s="114">
        <v>2226</v>
      </c>
      <c r="B117" s="115" t="s">
        <v>4002</v>
      </c>
    </row>
    <row r="118" spans="1:2" x14ac:dyDescent="0.25">
      <c r="A118" s="114">
        <v>2227</v>
      </c>
      <c r="B118" s="115" t="s">
        <v>4003</v>
      </c>
    </row>
    <row r="119" spans="1:2" x14ac:dyDescent="0.25">
      <c r="A119" s="114">
        <v>2229</v>
      </c>
      <c r="B119" s="115" t="s">
        <v>4004</v>
      </c>
    </row>
    <row r="120" spans="1:2" x14ac:dyDescent="0.25">
      <c r="A120" s="114">
        <v>2310</v>
      </c>
      <c r="B120" s="115" t="s">
        <v>4005</v>
      </c>
    </row>
    <row r="121" spans="1:2" x14ac:dyDescent="0.25">
      <c r="A121" s="114">
        <v>2321</v>
      </c>
      <c r="B121" s="115" t="s">
        <v>861</v>
      </c>
    </row>
    <row r="122" spans="1:2" x14ac:dyDescent="0.25">
      <c r="A122" s="114">
        <v>2322</v>
      </c>
      <c r="B122" s="115" t="s">
        <v>862</v>
      </c>
    </row>
    <row r="123" spans="1:2" x14ac:dyDescent="0.25">
      <c r="A123" s="114">
        <v>2324</v>
      </c>
      <c r="B123" s="115" t="s">
        <v>4006</v>
      </c>
    </row>
    <row r="124" spans="1:2" x14ac:dyDescent="0.25">
      <c r="A124" s="114">
        <v>2325</v>
      </c>
      <c r="B124" s="115" t="s">
        <v>4007</v>
      </c>
    </row>
    <row r="125" spans="1:2" x14ac:dyDescent="0.25">
      <c r="A125" s="114">
        <v>2326</v>
      </c>
      <c r="B125" s="115" t="s">
        <v>4008</v>
      </c>
    </row>
    <row r="126" spans="1:2" x14ac:dyDescent="0.25">
      <c r="A126" s="114">
        <v>2327</v>
      </c>
      <c r="B126" s="115" t="s">
        <v>4009</v>
      </c>
    </row>
    <row r="127" spans="1:2" x14ac:dyDescent="0.25">
      <c r="A127" s="114">
        <v>2328</v>
      </c>
      <c r="B127" s="115" t="s">
        <v>864</v>
      </c>
    </row>
    <row r="128" spans="1:2" x14ac:dyDescent="0.25">
      <c r="A128" s="114">
        <v>2329</v>
      </c>
      <c r="B128" s="115" t="s">
        <v>4010</v>
      </c>
    </row>
    <row r="129" spans="1:2" x14ac:dyDescent="0.25">
      <c r="A129" s="114">
        <v>2342</v>
      </c>
      <c r="B129" s="115" t="s">
        <v>4011</v>
      </c>
    </row>
    <row r="130" spans="1:2" x14ac:dyDescent="0.25">
      <c r="A130" s="114">
        <v>2343</v>
      </c>
      <c r="B130" s="115" t="s">
        <v>4012</v>
      </c>
    </row>
    <row r="131" spans="1:2" x14ac:dyDescent="0.25">
      <c r="A131" s="114">
        <v>2351</v>
      </c>
      <c r="B131" s="115" t="s">
        <v>4013</v>
      </c>
    </row>
    <row r="132" spans="1:2" x14ac:dyDescent="0.25">
      <c r="A132" s="114">
        <v>2352</v>
      </c>
      <c r="B132" s="115" t="s">
        <v>4014</v>
      </c>
    </row>
    <row r="133" spans="1:2" x14ac:dyDescent="0.25">
      <c r="A133" s="114">
        <v>2353</v>
      </c>
      <c r="B133" s="115" t="s">
        <v>4015</v>
      </c>
    </row>
    <row r="134" spans="1:2" x14ac:dyDescent="0.25">
      <c r="A134" s="114">
        <v>2361</v>
      </c>
      <c r="B134" s="115" t="s">
        <v>4016</v>
      </c>
    </row>
    <row r="135" spans="1:2" x14ac:dyDescent="0.25">
      <c r="A135" s="114">
        <v>2362</v>
      </c>
      <c r="B135" s="115" t="s">
        <v>4017</v>
      </c>
    </row>
    <row r="136" spans="1:2" x14ac:dyDescent="0.25">
      <c r="A136" s="114">
        <v>2391</v>
      </c>
      <c r="B136" s="115" t="s">
        <v>4018</v>
      </c>
    </row>
    <row r="137" spans="1:2" x14ac:dyDescent="0.25">
      <c r="A137" s="114">
        <v>2411</v>
      </c>
      <c r="B137" s="115" t="s">
        <v>4019</v>
      </c>
    </row>
    <row r="138" spans="1:2" x14ac:dyDescent="0.25">
      <c r="A138" s="114">
        <v>2412</v>
      </c>
      <c r="B138" s="115" t="s">
        <v>4020</v>
      </c>
    </row>
    <row r="139" spans="1:2" x14ac:dyDescent="0.25">
      <c r="A139" s="114">
        <v>2413</v>
      </c>
      <c r="B139" s="115" t="s">
        <v>4021</v>
      </c>
    </row>
    <row r="140" spans="1:2" x14ac:dyDescent="0.25">
      <c r="A140" s="114">
        <v>2414</v>
      </c>
      <c r="B140" s="115" t="s">
        <v>4022</v>
      </c>
    </row>
    <row r="141" spans="1:2" x14ac:dyDescent="0.25">
      <c r="A141" s="114">
        <v>2420</v>
      </c>
      <c r="B141" s="115" t="s">
        <v>4023</v>
      </c>
    </row>
    <row r="142" spans="1:2" x14ac:dyDescent="0.25">
      <c r="A142" s="114">
        <v>2431</v>
      </c>
      <c r="B142" s="115" t="s">
        <v>4024</v>
      </c>
    </row>
    <row r="143" spans="1:2" x14ac:dyDescent="0.25">
      <c r="A143" s="114">
        <v>2432</v>
      </c>
      <c r="B143" s="115" t="s">
        <v>4025</v>
      </c>
    </row>
    <row r="144" spans="1:2" x14ac:dyDescent="0.25">
      <c r="A144" s="114">
        <v>2433</v>
      </c>
      <c r="B144" s="115" t="s">
        <v>4026</v>
      </c>
    </row>
    <row r="145" spans="1:2" x14ac:dyDescent="0.25">
      <c r="A145" s="114">
        <v>2434</v>
      </c>
      <c r="B145" s="115" t="s">
        <v>4027</v>
      </c>
    </row>
    <row r="146" spans="1:2" x14ac:dyDescent="0.25">
      <c r="A146" s="114">
        <v>2439</v>
      </c>
      <c r="B146" s="115" t="s">
        <v>4028</v>
      </c>
    </row>
    <row r="147" spans="1:2" x14ac:dyDescent="0.25">
      <c r="A147" s="114">
        <v>2441</v>
      </c>
      <c r="B147" s="115" t="s">
        <v>4029</v>
      </c>
    </row>
    <row r="148" spans="1:2" x14ac:dyDescent="0.25">
      <c r="A148" s="114">
        <v>2442</v>
      </c>
      <c r="B148" s="115" t="s">
        <v>4030</v>
      </c>
    </row>
    <row r="149" spans="1:2" x14ac:dyDescent="0.25">
      <c r="A149" s="114">
        <v>2443</v>
      </c>
      <c r="B149" s="115" t="s">
        <v>4031</v>
      </c>
    </row>
    <row r="150" spans="1:2" x14ac:dyDescent="0.25">
      <c r="A150" s="114">
        <v>2449</v>
      </c>
      <c r="B150" s="115" t="s">
        <v>4032</v>
      </c>
    </row>
    <row r="151" spans="1:2" x14ac:dyDescent="0.25">
      <c r="A151" s="114">
        <v>2451</v>
      </c>
      <c r="B151" s="115" t="s">
        <v>4033</v>
      </c>
    </row>
    <row r="152" spans="1:2" x14ac:dyDescent="0.25">
      <c r="A152" s="114">
        <v>2452</v>
      </c>
      <c r="B152" s="115" t="s">
        <v>4034</v>
      </c>
    </row>
    <row r="153" spans="1:2" x14ac:dyDescent="0.25">
      <c r="A153" s="114">
        <v>2459</v>
      </c>
      <c r="B153" s="115" t="s">
        <v>4035</v>
      </c>
    </row>
    <row r="154" spans="1:2" x14ac:dyDescent="0.25">
      <c r="A154" s="114">
        <v>2460</v>
      </c>
      <c r="B154" s="115" t="s">
        <v>4036</v>
      </c>
    </row>
    <row r="155" spans="1:2" x14ac:dyDescent="0.25">
      <c r="A155" s="114">
        <v>2470</v>
      </c>
      <c r="B155" s="115" t="s">
        <v>4037</v>
      </c>
    </row>
    <row r="156" spans="1:2" x14ac:dyDescent="0.25">
      <c r="A156" s="114">
        <v>2481</v>
      </c>
      <c r="B156" s="115" t="s">
        <v>4038</v>
      </c>
    </row>
    <row r="157" spans="1:2" x14ac:dyDescent="0.25">
      <c r="A157" s="114">
        <v>2482</v>
      </c>
      <c r="B157" s="115" t="s">
        <v>4039</v>
      </c>
    </row>
    <row r="158" spans="1:2" x14ac:dyDescent="0.25">
      <c r="A158" s="114">
        <v>2511</v>
      </c>
      <c r="B158" s="115" t="s">
        <v>847</v>
      </c>
    </row>
    <row r="159" spans="1:2" x14ac:dyDescent="0.25">
      <c r="A159" s="115">
        <v>2512</v>
      </c>
      <c r="B159" s="115" t="s">
        <v>854</v>
      </c>
    </row>
    <row r="160" spans="1:2" x14ac:dyDescent="0.25">
      <c r="A160" s="115">
        <v>2513</v>
      </c>
      <c r="B160" s="115" t="s">
        <v>4040</v>
      </c>
    </row>
    <row r="161" spans="1:2" x14ac:dyDescent="0.25">
      <c r="A161" s="115">
        <v>3111</v>
      </c>
      <c r="B161" s="116" t="s">
        <v>865</v>
      </c>
    </row>
    <row r="162" spans="1:2" x14ac:dyDescent="0.25">
      <c r="A162" s="114">
        <v>3112</v>
      </c>
      <c r="B162" s="115" t="s">
        <v>4041</v>
      </c>
    </row>
    <row r="163" spans="1:2" x14ac:dyDescent="0.25">
      <c r="A163" s="114">
        <v>3113</v>
      </c>
      <c r="B163" s="115" t="s">
        <v>4042</v>
      </c>
    </row>
    <row r="164" spans="1:2" x14ac:dyDescent="0.25">
      <c r="A164" s="114">
        <v>3114</v>
      </c>
      <c r="B164" s="115" t="s">
        <v>4043</v>
      </c>
    </row>
    <row r="165" spans="1:2" x14ac:dyDescent="0.25">
      <c r="A165" s="114">
        <v>3119</v>
      </c>
      <c r="B165" s="115" t="s">
        <v>4044</v>
      </c>
    </row>
    <row r="166" spans="1:2" x14ac:dyDescent="0.25">
      <c r="A166" s="114">
        <v>3121</v>
      </c>
      <c r="B166" s="115" t="s">
        <v>4045</v>
      </c>
    </row>
    <row r="167" spans="1:2" x14ac:dyDescent="0.25">
      <c r="A167" s="114">
        <v>3122</v>
      </c>
      <c r="B167" s="115" t="s">
        <v>4046</v>
      </c>
    </row>
    <row r="168" spans="1:2" x14ac:dyDescent="0.25">
      <c r="A168" s="114">
        <v>3129</v>
      </c>
      <c r="B168" s="115" t="s">
        <v>4047</v>
      </c>
    </row>
    <row r="169" spans="1:2" x14ac:dyDescent="0.25">
      <c r="A169" s="114">
        <v>3201</v>
      </c>
      <c r="B169" s="115" t="s">
        <v>866</v>
      </c>
    </row>
    <row r="170" spans="1:2" x14ac:dyDescent="0.25">
      <c r="A170" s="114">
        <v>3202</v>
      </c>
      <c r="B170" s="115" t="s">
        <v>4048</v>
      </c>
    </row>
    <row r="171" spans="1:2" x14ac:dyDescent="0.25">
      <c r="A171" s="114">
        <v>3203</v>
      </c>
      <c r="B171" s="115" t="s">
        <v>4049</v>
      </c>
    </row>
    <row r="172" spans="1:2" x14ac:dyDescent="0.25">
      <c r="A172" s="114">
        <v>3209</v>
      </c>
      <c r="B172" s="115" t="s">
        <v>4050</v>
      </c>
    </row>
    <row r="173" spans="1:2" x14ac:dyDescent="0.25">
      <c r="A173" s="114">
        <v>4111</v>
      </c>
      <c r="B173" s="115" t="s">
        <v>4051</v>
      </c>
    </row>
    <row r="174" spans="1:2" x14ac:dyDescent="0.25">
      <c r="A174" s="114">
        <v>4112</v>
      </c>
      <c r="B174" s="115" t="s">
        <v>4052</v>
      </c>
    </row>
    <row r="175" spans="1:2" x14ac:dyDescent="0.25">
      <c r="A175" s="114">
        <v>4113</v>
      </c>
      <c r="B175" s="115" t="s">
        <v>4053</v>
      </c>
    </row>
    <row r="176" spans="1:2" x14ac:dyDescent="0.25">
      <c r="A176" s="114">
        <v>4114</v>
      </c>
      <c r="B176" s="115" t="s">
        <v>4054</v>
      </c>
    </row>
    <row r="177" spans="1:2" x14ac:dyDescent="0.25">
      <c r="A177" s="114">
        <v>4115</v>
      </c>
      <c r="B177" s="115" t="s">
        <v>4055</v>
      </c>
    </row>
    <row r="178" spans="1:2" x14ac:dyDescent="0.25">
      <c r="A178" s="114">
        <v>4116</v>
      </c>
      <c r="B178" s="115" t="s">
        <v>4056</v>
      </c>
    </row>
    <row r="179" spans="1:2" x14ac:dyDescent="0.25">
      <c r="A179" s="114">
        <v>4118</v>
      </c>
      <c r="B179" s="115" t="s">
        <v>4057</v>
      </c>
    </row>
    <row r="180" spans="1:2" x14ac:dyDescent="0.25">
      <c r="A180" s="114">
        <v>4119</v>
      </c>
      <c r="B180" s="116" t="s">
        <v>4058</v>
      </c>
    </row>
    <row r="181" spans="1:2" x14ac:dyDescent="0.25">
      <c r="A181" s="114">
        <v>4121</v>
      </c>
      <c r="B181" s="115" t="s">
        <v>4059</v>
      </c>
    </row>
    <row r="182" spans="1:2" x14ac:dyDescent="0.25">
      <c r="A182" s="114">
        <v>4122</v>
      </c>
      <c r="B182" s="115" t="s">
        <v>4060</v>
      </c>
    </row>
    <row r="183" spans="1:2" x14ac:dyDescent="0.25">
      <c r="A183" s="114">
        <v>4123</v>
      </c>
      <c r="B183" s="115" t="s">
        <v>4061</v>
      </c>
    </row>
    <row r="184" spans="1:2" x14ac:dyDescent="0.25">
      <c r="A184" s="114">
        <v>4129</v>
      </c>
      <c r="B184" s="115" t="s">
        <v>4062</v>
      </c>
    </row>
    <row r="185" spans="1:2" x14ac:dyDescent="0.25">
      <c r="A185" s="114">
        <v>4131</v>
      </c>
      <c r="B185" s="115" t="s">
        <v>4063</v>
      </c>
    </row>
    <row r="186" spans="1:2" x14ac:dyDescent="0.25">
      <c r="A186" s="114">
        <v>4132</v>
      </c>
      <c r="B186" s="115" t="s">
        <v>4064</v>
      </c>
    </row>
    <row r="187" spans="1:2" x14ac:dyDescent="0.25">
      <c r="A187" s="114">
        <v>4133</v>
      </c>
      <c r="B187" s="115" t="s">
        <v>4065</v>
      </c>
    </row>
    <row r="188" spans="1:2" x14ac:dyDescent="0.25">
      <c r="A188" s="114">
        <v>4134</v>
      </c>
      <c r="B188" s="115" t="s">
        <v>867</v>
      </c>
    </row>
    <row r="189" spans="1:2" x14ac:dyDescent="0.25">
      <c r="A189" s="114">
        <v>4135</v>
      </c>
      <c r="B189" s="115" t="s">
        <v>4066</v>
      </c>
    </row>
    <row r="190" spans="1:2" x14ac:dyDescent="0.25">
      <c r="A190" s="114">
        <v>4136</v>
      </c>
      <c r="B190" s="115" t="s">
        <v>4067</v>
      </c>
    </row>
    <row r="191" spans="1:2" x14ac:dyDescent="0.25">
      <c r="A191" s="114">
        <v>4137</v>
      </c>
      <c r="B191" s="115" t="s">
        <v>4068</v>
      </c>
    </row>
    <row r="192" spans="1:2" x14ac:dyDescent="0.25">
      <c r="A192" s="114">
        <v>4138</v>
      </c>
      <c r="B192" s="115" t="s">
        <v>4069</v>
      </c>
    </row>
    <row r="193" spans="1:2" x14ac:dyDescent="0.25">
      <c r="A193" s="114">
        <v>4139</v>
      </c>
      <c r="B193" s="115" t="s">
        <v>4070</v>
      </c>
    </row>
    <row r="194" spans="1:2" x14ac:dyDescent="0.25">
      <c r="A194" s="114">
        <v>4140</v>
      </c>
      <c r="B194" s="115" t="s">
        <v>4071</v>
      </c>
    </row>
    <row r="195" spans="1:2" x14ac:dyDescent="0.25">
      <c r="A195" s="114">
        <v>4151</v>
      </c>
      <c r="B195" s="115" t="s">
        <v>4072</v>
      </c>
    </row>
    <row r="196" spans="1:2" x14ac:dyDescent="0.25">
      <c r="A196" s="114">
        <v>4152</v>
      </c>
      <c r="B196" s="115" t="s">
        <v>4073</v>
      </c>
    </row>
    <row r="197" spans="1:2" x14ac:dyDescent="0.25">
      <c r="A197" s="114">
        <v>4153</v>
      </c>
      <c r="B197" s="115" t="s">
        <v>4074</v>
      </c>
    </row>
    <row r="198" spans="1:2" x14ac:dyDescent="0.25">
      <c r="A198" s="114">
        <v>4155</v>
      </c>
      <c r="B198" s="115" t="s">
        <v>4075</v>
      </c>
    </row>
    <row r="199" spans="1:2" x14ac:dyDescent="0.25">
      <c r="A199" s="114">
        <v>4156</v>
      </c>
      <c r="B199" s="115" t="s">
        <v>4076</v>
      </c>
    </row>
    <row r="200" spans="1:2" x14ac:dyDescent="0.25">
      <c r="A200" s="114">
        <v>4159</v>
      </c>
      <c r="B200" s="115" t="s">
        <v>4077</v>
      </c>
    </row>
    <row r="201" spans="1:2" x14ac:dyDescent="0.25">
      <c r="A201" s="114">
        <v>4160</v>
      </c>
      <c r="B201" s="115" t="s">
        <v>4078</v>
      </c>
    </row>
    <row r="202" spans="1:2" x14ac:dyDescent="0.25">
      <c r="A202" s="114">
        <v>4211</v>
      </c>
      <c r="B202" s="115" t="s">
        <v>4079</v>
      </c>
    </row>
    <row r="203" spans="1:2" x14ac:dyDescent="0.25">
      <c r="A203" s="114">
        <v>4212</v>
      </c>
      <c r="B203" s="115" t="s">
        <v>4080</v>
      </c>
    </row>
    <row r="204" spans="1:2" x14ac:dyDescent="0.25">
      <c r="A204" s="114">
        <v>4213</v>
      </c>
      <c r="B204" s="115" t="s">
        <v>4081</v>
      </c>
    </row>
    <row r="205" spans="1:2" x14ac:dyDescent="0.25">
      <c r="A205" s="114">
        <v>4214</v>
      </c>
      <c r="B205" s="115" t="s">
        <v>4082</v>
      </c>
    </row>
    <row r="206" spans="1:2" x14ac:dyDescent="0.25">
      <c r="A206" s="114">
        <v>4216</v>
      </c>
      <c r="B206" s="115" t="s">
        <v>4083</v>
      </c>
    </row>
    <row r="207" spans="1:2" x14ac:dyDescent="0.25">
      <c r="A207" s="114">
        <v>4218</v>
      </c>
      <c r="B207" s="115" t="s">
        <v>4084</v>
      </c>
    </row>
    <row r="208" spans="1:2" x14ac:dyDescent="0.25">
      <c r="A208" s="114">
        <v>4219</v>
      </c>
      <c r="B208" s="115" t="s">
        <v>4085</v>
      </c>
    </row>
    <row r="209" spans="1:2" x14ac:dyDescent="0.25">
      <c r="A209" s="114">
        <v>4221</v>
      </c>
      <c r="B209" s="115" t="s">
        <v>4086</v>
      </c>
    </row>
    <row r="210" spans="1:2" x14ac:dyDescent="0.25">
      <c r="A210" s="114">
        <v>4222</v>
      </c>
      <c r="B210" s="115" t="s">
        <v>4087</v>
      </c>
    </row>
    <row r="211" spans="1:2" x14ac:dyDescent="0.25">
      <c r="A211" s="114">
        <v>4223</v>
      </c>
      <c r="B211" s="115" t="s">
        <v>4088</v>
      </c>
    </row>
    <row r="212" spans="1:2" x14ac:dyDescent="0.25">
      <c r="A212" s="114">
        <v>4229</v>
      </c>
      <c r="B212" s="115" t="s">
        <v>4089</v>
      </c>
    </row>
    <row r="213" spans="1:2" x14ac:dyDescent="0.25">
      <c r="A213" s="114">
        <v>4231</v>
      </c>
      <c r="B213" s="115" t="s">
        <v>4090</v>
      </c>
    </row>
    <row r="214" spans="1:2" x14ac:dyDescent="0.25">
      <c r="A214" s="114">
        <v>4232</v>
      </c>
      <c r="B214" s="115" t="s">
        <v>4091</v>
      </c>
    </row>
    <row r="215" spans="1:2" x14ac:dyDescent="0.25">
      <c r="A215" s="114">
        <v>4233</v>
      </c>
      <c r="B215" s="115" t="s">
        <v>4092</v>
      </c>
    </row>
    <row r="216" spans="1:2" x14ac:dyDescent="0.25">
      <c r="A216" s="114">
        <v>4234</v>
      </c>
      <c r="B216" s="115" t="s">
        <v>4093</v>
      </c>
    </row>
    <row r="217" spans="1:2" x14ac:dyDescent="0.25">
      <c r="A217" s="114">
        <v>4235</v>
      </c>
      <c r="B217" s="115" t="s">
        <v>4094</v>
      </c>
    </row>
    <row r="218" spans="1:2" x14ac:dyDescent="0.25">
      <c r="A218" s="114">
        <v>4240</v>
      </c>
      <c r="B218" s="115" t="s">
        <v>4095</v>
      </c>
    </row>
    <row r="219" spans="1:2" x14ac:dyDescent="0.25">
      <c r="A219" s="114">
        <v>4251</v>
      </c>
      <c r="B219" s="115" t="s">
        <v>4096</v>
      </c>
    </row>
    <row r="220" spans="1:2" x14ac:dyDescent="0.25">
      <c r="A220" s="114">
        <v>5011</v>
      </c>
      <c r="B220" s="115" t="s">
        <v>4097</v>
      </c>
    </row>
    <row r="221" spans="1:2" x14ac:dyDescent="0.25">
      <c r="A221" s="114">
        <v>5012</v>
      </c>
      <c r="B221" s="116" t="s">
        <v>4098</v>
      </c>
    </row>
    <row r="222" spans="1:2" x14ac:dyDescent="0.25">
      <c r="A222" s="114">
        <v>5013</v>
      </c>
      <c r="B222" s="115" t="s">
        <v>4099</v>
      </c>
    </row>
    <row r="223" spans="1:2" x14ac:dyDescent="0.25">
      <c r="A223" s="114">
        <v>5014</v>
      </c>
      <c r="B223" s="116" t="s">
        <v>4100</v>
      </c>
    </row>
    <row r="224" spans="1:2" x14ac:dyDescent="0.25">
      <c r="A224" s="114">
        <v>5019</v>
      </c>
      <c r="B224" s="116" t="s">
        <v>868</v>
      </c>
    </row>
    <row r="225" spans="1:2" x14ac:dyDescent="0.25">
      <c r="A225" s="114">
        <v>5021</v>
      </c>
      <c r="B225" s="115" t="s">
        <v>740</v>
      </c>
    </row>
    <row r="226" spans="1:2" x14ac:dyDescent="0.25">
      <c r="A226" s="114">
        <v>5022</v>
      </c>
      <c r="B226" s="115" t="s">
        <v>4101</v>
      </c>
    </row>
    <row r="227" spans="1:2" x14ac:dyDescent="0.25">
      <c r="A227" s="114">
        <v>5023</v>
      </c>
      <c r="B227" s="115" t="s">
        <v>4102</v>
      </c>
    </row>
    <row r="228" spans="1:2" x14ac:dyDescent="0.25">
      <c r="A228" s="114">
        <v>5024</v>
      </c>
      <c r="B228" s="115" t="s">
        <v>869</v>
      </c>
    </row>
    <row r="229" spans="1:2" x14ac:dyDescent="0.25">
      <c r="A229" s="114">
        <v>5025</v>
      </c>
      <c r="B229" s="115" t="s">
        <v>870</v>
      </c>
    </row>
    <row r="230" spans="1:2" x14ac:dyDescent="0.25">
      <c r="A230" s="114">
        <v>5026</v>
      </c>
      <c r="B230" s="115" t="s">
        <v>871</v>
      </c>
    </row>
    <row r="231" spans="1:2" x14ac:dyDescent="0.25">
      <c r="A231" s="114">
        <v>5027</v>
      </c>
      <c r="B231" s="115" t="s">
        <v>4103</v>
      </c>
    </row>
    <row r="232" spans="1:2" x14ac:dyDescent="0.25">
      <c r="A232" s="114">
        <v>5028</v>
      </c>
      <c r="B232" s="115" t="s">
        <v>4104</v>
      </c>
    </row>
    <row r="233" spans="1:2" x14ac:dyDescent="0.25">
      <c r="A233" s="114">
        <v>5029</v>
      </c>
      <c r="B233" s="115" t="s">
        <v>4105</v>
      </c>
    </row>
    <row r="234" spans="1:2" x14ac:dyDescent="0.25">
      <c r="A234" s="114">
        <v>5031</v>
      </c>
      <c r="B234" s="115" t="s">
        <v>4106</v>
      </c>
    </row>
    <row r="235" spans="1:2" x14ac:dyDescent="0.25">
      <c r="A235" s="114">
        <v>5032</v>
      </c>
      <c r="B235" s="115" t="s">
        <v>4107</v>
      </c>
    </row>
    <row r="236" spans="1:2" x14ac:dyDescent="0.25">
      <c r="A236" s="114">
        <v>5038</v>
      </c>
      <c r="B236" s="115" t="s">
        <v>4108</v>
      </c>
    </row>
    <row r="237" spans="1:2" x14ac:dyDescent="0.25">
      <c r="A237" s="114">
        <v>5039</v>
      </c>
      <c r="B237" s="115" t="s">
        <v>4109</v>
      </c>
    </row>
    <row r="238" spans="1:2" x14ac:dyDescent="0.25">
      <c r="A238" s="114">
        <v>5041</v>
      </c>
      <c r="B238" s="115" t="s">
        <v>4110</v>
      </c>
    </row>
    <row r="239" spans="1:2" x14ac:dyDescent="0.25">
      <c r="A239" s="114">
        <v>5042</v>
      </c>
      <c r="B239" s="115" t="s">
        <v>4111</v>
      </c>
    </row>
    <row r="240" spans="1:2" x14ac:dyDescent="0.25">
      <c r="A240" s="114">
        <v>5051</v>
      </c>
      <c r="B240" s="115" t="s">
        <v>872</v>
      </c>
    </row>
    <row r="241" spans="1:2" x14ac:dyDescent="0.25">
      <c r="A241" s="114">
        <v>5061</v>
      </c>
      <c r="B241" s="115" t="s">
        <v>4112</v>
      </c>
    </row>
    <row r="242" spans="1:2" x14ac:dyDescent="0.25">
      <c r="A242" s="114">
        <v>5122</v>
      </c>
      <c r="B242" s="115" t="s">
        <v>579</v>
      </c>
    </row>
    <row r="243" spans="1:2" x14ac:dyDescent="0.25">
      <c r="A243" s="114">
        <v>5123</v>
      </c>
      <c r="B243" s="115" t="s">
        <v>4113</v>
      </c>
    </row>
    <row r="244" spans="1:2" x14ac:dyDescent="0.25">
      <c r="A244" s="114">
        <v>5131</v>
      </c>
      <c r="B244" s="115" t="s">
        <v>873</v>
      </c>
    </row>
    <row r="245" spans="1:2" x14ac:dyDescent="0.25">
      <c r="A245" s="114">
        <v>5132</v>
      </c>
      <c r="B245" s="115" t="s">
        <v>874</v>
      </c>
    </row>
    <row r="246" spans="1:2" x14ac:dyDescent="0.25">
      <c r="A246" s="114">
        <v>5133</v>
      </c>
      <c r="B246" s="115" t="s">
        <v>235</v>
      </c>
    </row>
    <row r="247" spans="1:2" x14ac:dyDescent="0.25">
      <c r="A247" s="114">
        <v>5134</v>
      </c>
      <c r="B247" s="115" t="s">
        <v>248</v>
      </c>
    </row>
    <row r="248" spans="1:2" x14ac:dyDescent="0.25">
      <c r="A248" s="114">
        <v>5135</v>
      </c>
      <c r="B248" s="115" t="s">
        <v>4114</v>
      </c>
    </row>
    <row r="249" spans="1:2" x14ac:dyDescent="0.25">
      <c r="A249" s="114">
        <v>5136</v>
      </c>
      <c r="B249" s="115" t="s">
        <v>875</v>
      </c>
    </row>
    <row r="250" spans="1:2" x14ac:dyDescent="0.25">
      <c r="A250" s="114">
        <v>5137</v>
      </c>
      <c r="B250" s="115" t="s">
        <v>4115</v>
      </c>
    </row>
    <row r="251" spans="1:2" x14ac:dyDescent="0.25">
      <c r="A251" s="114">
        <v>5138</v>
      </c>
      <c r="B251" s="115" t="s">
        <v>4116</v>
      </c>
    </row>
    <row r="252" spans="1:2" x14ac:dyDescent="0.25">
      <c r="A252" s="114">
        <v>5139</v>
      </c>
      <c r="B252" s="115" t="s">
        <v>4117</v>
      </c>
    </row>
    <row r="253" spans="1:2" x14ac:dyDescent="0.25">
      <c r="A253" s="114">
        <v>5141</v>
      </c>
      <c r="B253" s="116" t="s">
        <v>295</v>
      </c>
    </row>
    <row r="254" spans="1:2" x14ac:dyDescent="0.25">
      <c r="A254" s="114">
        <v>5142</v>
      </c>
      <c r="B254" s="115" t="s">
        <v>4118</v>
      </c>
    </row>
    <row r="255" spans="1:2" x14ac:dyDescent="0.25">
      <c r="A255" s="114">
        <v>5143</v>
      </c>
      <c r="B255" s="115" t="s">
        <v>4119</v>
      </c>
    </row>
    <row r="256" spans="1:2" x14ac:dyDescent="0.25">
      <c r="A256" s="114">
        <v>5144</v>
      </c>
      <c r="B256" s="115" t="s">
        <v>876</v>
      </c>
    </row>
    <row r="257" spans="1:2" x14ac:dyDescent="0.25">
      <c r="A257" s="114">
        <v>5145</v>
      </c>
      <c r="B257" s="115" t="s">
        <v>4120</v>
      </c>
    </row>
    <row r="258" spans="1:2" x14ac:dyDescent="0.25">
      <c r="A258" s="114">
        <v>5146</v>
      </c>
      <c r="B258" s="115" t="s">
        <v>4121</v>
      </c>
    </row>
    <row r="259" spans="1:2" x14ac:dyDescent="0.25">
      <c r="A259" s="114">
        <v>5147</v>
      </c>
      <c r="B259" s="115" t="s">
        <v>4122</v>
      </c>
    </row>
    <row r="260" spans="1:2" x14ac:dyDescent="0.25">
      <c r="A260" s="114">
        <v>5148</v>
      </c>
      <c r="B260" s="115" t="s">
        <v>4123</v>
      </c>
    </row>
    <row r="261" spans="1:2" x14ac:dyDescent="0.25">
      <c r="A261" s="114">
        <v>5149</v>
      </c>
      <c r="B261" s="115" t="s">
        <v>4124</v>
      </c>
    </row>
    <row r="262" spans="1:2" x14ac:dyDescent="0.25">
      <c r="A262" s="114">
        <v>5151</v>
      </c>
      <c r="B262" s="115" t="s">
        <v>877</v>
      </c>
    </row>
    <row r="263" spans="1:2" x14ac:dyDescent="0.25">
      <c r="A263" s="114">
        <v>5152</v>
      </c>
      <c r="B263" s="115" t="s">
        <v>878</v>
      </c>
    </row>
    <row r="264" spans="1:2" x14ac:dyDescent="0.25">
      <c r="A264" s="114">
        <v>5153</v>
      </c>
      <c r="B264" s="115" t="s">
        <v>879</v>
      </c>
    </row>
    <row r="265" spans="1:2" x14ac:dyDescent="0.25">
      <c r="A265" s="114">
        <v>5154</v>
      </c>
      <c r="B265" s="115" t="s">
        <v>880</v>
      </c>
    </row>
    <row r="266" spans="1:2" x14ac:dyDescent="0.25">
      <c r="A266" s="114">
        <v>5155</v>
      </c>
      <c r="B266" s="115" t="s">
        <v>881</v>
      </c>
    </row>
    <row r="267" spans="1:2" x14ac:dyDescent="0.25">
      <c r="A267" s="114">
        <v>5156</v>
      </c>
      <c r="B267" s="115" t="s">
        <v>882</v>
      </c>
    </row>
    <row r="268" spans="1:2" x14ac:dyDescent="0.25">
      <c r="A268" s="114">
        <v>5157</v>
      </c>
      <c r="B268" s="115" t="s">
        <v>883</v>
      </c>
    </row>
    <row r="269" spans="1:2" x14ac:dyDescent="0.25">
      <c r="A269" s="114">
        <v>5159</v>
      </c>
      <c r="B269" s="115" t="s">
        <v>4125</v>
      </c>
    </row>
    <row r="270" spans="1:2" x14ac:dyDescent="0.25">
      <c r="A270" s="114">
        <v>5161</v>
      </c>
      <c r="B270" s="115" t="s">
        <v>4126</v>
      </c>
    </row>
    <row r="271" spans="1:2" x14ac:dyDescent="0.25">
      <c r="A271" s="114">
        <v>5162</v>
      </c>
      <c r="B271" s="116" t="s">
        <v>3863</v>
      </c>
    </row>
    <row r="272" spans="1:2" x14ac:dyDescent="0.25">
      <c r="A272" s="114">
        <v>5163</v>
      </c>
      <c r="B272" s="115" t="s">
        <v>884</v>
      </c>
    </row>
    <row r="273" spans="1:2" x14ac:dyDescent="0.25">
      <c r="A273" s="114">
        <v>5164</v>
      </c>
      <c r="B273" s="115" t="s">
        <v>238</v>
      </c>
    </row>
    <row r="274" spans="1:2" x14ac:dyDescent="0.25">
      <c r="A274" s="114">
        <v>5165</v>
      </c>
      <c r="B274" s="115" t="s">
        <v>885</v>
      </c>
    </row>
    <row r="275" spans="1:2" x14ac:dyDescent="0.25">
      <c r="A275" s="114">
        <v>5166</v>
      </c>
      <c r="B275" s="115" t="s">
        <v>4127</v>
      </c>
    </row>
    <row r="276" spans="1:2" x14ac:dyDescent="0.25">
      <c r="A276" s="114">
        <v>5167</v>
      </c>
      <c r="B276" s="115" t="s">
        <v>886</v>
      </c>
    </row>
    <row r="277" spans="1:2" x14ac:dyDescent="0.25">
      <c r="A277" s="114">
        <v>5168</v>
      </c>
      <c r="B277" s="115" t="s">
        <v>4128</v>
      </c>
    </row>
    <row r="278" spans="1:2" x14ac:dyDescent="0.25">
      <c r="A278" s="114">
        <v>5169</v>
      </c>
      <c r="B278" s="115" t="s">
        <v>887</v>
      </c>
    </row>
    <row r="279" spans="1:2" x14ac:dyDescent="0.25">
      <c r="A279" s="114">
        <v>5171</v>
      </c>
      <c r="B279" s="115" t="s">
        <v>241</v>
      </c>
    </row>
    <row r="280" spans="1:2" x14ac:dyDescent="0.25">
      <c r="A280" s="114">
        <v>5172</v>
      </c>
      <c r="B280" s="115" t="s">
        <v>888</v>
      </c>
    </row>
    <row r="281" spans="1:2" x14ac:dyDescent="0.25">
      <c r="A281" s="114">
        <v>5173</v>
      </c>
      <c r="B281" s="115" t="s">
        <v>3862</v>
      </c>
    </row>
    <row r="282" spans="1:2" x14ac:dyDescent="0.25">
      <c r="A282" s="114">
        <v>5175</v>
      </c>
      <c r="B282" s="115" t="s">
        <v>246</v>
      </c>
    </row>
    <row r="283" spans="1:2" x14ac:dyDescent="0.25">
      <c r="A283" s="114">
        <v>5176</v>
      </c>
      <c r="B283" s="115" t="s">
        <v>4129</v>
      </c>
    </row>
    <row r="284" spans="1:2" x14ac:dyDescent="0.25">
      <c r="A284" s="114">
        <v>5177</v>
      </c>
      <c r="B284" s="115" t="s">
        <v>4130</v>
      </c>
    </row>
    <row r="285" spans="1:2" x14ac:dyDescent="0.25">
      <c r="A285" s="114">
        <v>5178</v>
      </c>
      <c r="B285" s="115" t="s">
        <v>4131</v>
      </c>
    </row>
    <row r="286" spans="1:2" x14ac:dyDescent="0.25">
      <c r="A286" s="114">
        <v>5179</v>
      </c>
      <c r="B286" s="115" t="s">
        <v>4132</v>
      </c>
    </row>
    <row r="287" spans="1:2" x14ac:dyDescent="0.25">
      <c r="A287" s="114">
        <v>5181</v>
      </c>
      <c r="B287" s="115" t="s">
        <v>4133</v>
      </c>
    </row>
    <row r="288" spans="1:2" x14ac:dyDescent="0.25">
      <c r="A288" s="114">
        <v>5182</v>
      </c>
      <c r="B288" s="115" t="s">
        <v>4134</v>
      </c>
    </row>
    <row r="289" spans="1:2" x14ac:dyDescent="0.25">
      <c r="A289" s="114">
        <v>5183</v>
      </c>
      <c r="B289" s="115" t="s">
        <v>889</v>
      </c>
    </row>
    <row r="290" spans="1:2" x14ac:dyDescent="0.25">
      <c r="A290" s="114">
        <v>5184</v>
      </c>
      <c r="B290" s="115" t="s">
        <v>890</v>
      </c>
    </row>
    <row r="291" spans="1:2" x14ac:dyDescent="0.25">
      <c r="A291" s="114">
        <v>5185</v>
      </c>
      <c r="B291" s="115" t="s">
        <v>4135</v>
      </c>
    </row>
    <row r="292" spans="1:2" x14ac:dyDescent="0.25">
      <c r="A292" s="114">
        <v>5189</v>
      </c>
      <c r="B292" s="115" t="s">
        <v>4136</v>
      </c>
    </row>
    <row r="293" spans="1:2" x14ac:dyDescent="0.25">
      <c r="A293" s="114">
        <v>5191</v>
      </c>
      <c r="B293" s="115" t="s">
        <v>4137</v>
      </c>
    </row>
    <row r="294" spans="1:2" x14ac:dyDescent="0.25">
      <c r="A294" s="114">
        <v>5192</v>
      </c>
      <c r="B294" s="115" t="s">
        <v>4138</v>
      </c>
    </row>
    <row r="295" spans="1:2" x14ac:dyDescent="0.25">
      <c r="A295" s="114">
        <v>5193</v>
      </c>
      <c r="B295" s="115" t="s">
        <v>4139</v>
      </c>
    </row>
    <row r="296" spans="1:2" x14ac:dyDescent="0.25">
      <c r="A296" s="114">
        <v>5194</v>
      </c>
      <c r="B296" s="115" t="s">
        <v>257</v>
      </c>
    </row>
    <row r="297" spans="1:2" x14ac:dyDescent="0.25">
      <c r="A297" s="114">
        <v>5195</v>
      </c>
      <c r="B297" s="115" t="s">
        <v>4140</v>
      </c>
    </row>
    <row r="298" spans="1:2" x14ac:dyDescent="0.25">
      <c r="A298" s="114">
        <v>5196</v>
      </c>
      <c r="B298" s="115" t="s">
        <v>4141</v>
      </c>
    </row>
    <row r="299" spans="1:2" x14ac:dyDescent="0.25">
      <c r="A299" s="114">
        <v>5197</v>
      </c>
      <c r="B299" s="115" t="s">
        <v>4142</v>
      </c>
    </row>
    <row r="300" spans="1:2" x14ac:dyDescent="0.25">
      <c r="A300" s="114">
        <v>5198</v>
      </c>
      <c r="B300" s="115" t="s">
        <v>4143</v>
      </c>
    </row>
    <row r="301" spans="1:2" x14ac:dyDescent="0.25">
      <c r="A301" s="114">
        <v>5199</v>
      </c>
      <c r="B301" s="115" t="s">
        <v>4144</v>
      </c>
    </row>
    <row r="302" spans="1:2" x14ac:dyDescent="0.25">
      <c r="A302" s="114">
        <v>5211</v>
      </c>
      <c r="B302" s="115" t="s">
        <v>4145</v>
      </c>
    </row>
    <row r="303" spans="1:2" x14ac:dyDescent="0.25">
      <c r="A303" s="114">
        <v>5212</v>
      </c>
      <c r="B303" s="115" t="s">
        <v>4146</v>
      </c>
    </row>
    <row r="304" spans="1:2" x14ac:dyDescent="0.25">
      <c r="A304" s="114">
        <v>5213</v>
      </c>
      <c r="B304" s="115" t="s">
        <v>4147</v>
      </c>
    </row>
    <row r="305" spans="1:2" x14ac:dyDescent="0.25">
      <c r="A305" s="114">
        <v>5214</v>
      </c>
      <c r="B305" s="115" t="s">
        <v>4148</v>
      </c>
    </row>
    <row r="306" spans="1:2" x14ac:dyDescent="0.25">
      <c r="A306" s="114">
        <v>5215</v>
      </c>
      <c r="B306" s="115" t="s">
        <v>4149</v>
      </c>
    </row>
    <row r="307" spans="1:2" x14ac:dyDescent="0.25">
      <c r="A307" s="114">
        <v>5216</v>
      </c>
      <c r="B307" s="115" t="s">
        <v>4150</v>
      </c>
    </row>
    <row r="308" spans="1:2" x14ac:dyDescent="0.25">
      <c r="A308" s="114">
        <v>5219</v>
      </c>
      <c r="B308" s="115" t="s">
        <v>4151</v>
      </c>
    </row>
    <row r="309" spans="1:2" x14ac:dyDescent="0.25">
      <c r="A309" s="114">
        <v>5221</v>
      </c>
      <c r="B309" s="115" t="s">
        <v>4152</v>
      </c>
    </row>
    <row r="310" spans="1:2" x14ac:dyDescent="0.25">
      <c r="A310" s="114">
        <v>5222</v>
      </c>
      <c r="B310" s="115" t="s">
        <v>4153</v>
      </c>
    </row>
    <row r="311" spans="1:2" x14ac:dyDescent="0.25">
      <c r="A311" s="114">
        <v>5223</v>
      </c>
      <c r="B311" s="115" t="s">
        <v>4154</v>
      </c>
    </row>
    <row r="312" spans="1:2" x14ac:dyDescent="0.25">
      <c r="A312" s="114">
        <v>5224</v>
      </c>
      <c r="B312" s="115" t="s">
        <v>4155</v>
      </c>
    </row>
    <row r="313" spans="1:2" x14ac:dyDescent="0.25">
      <c r="A313" s="114">
        <v>5225</v>
      </c>
      <c r="B313" s="115" t="s">
        <v>4156</v>
      </c>
    </row>
    <row r="314" spans="1:2" x14ac:dyDescent="0.25">
      <c r="A314" s="114">
        <v>5229</v>
      </c>
      <c r="B314" s="115" t="s">
        <v>4157</v>
      </c>
    </row>
    <row r="315" spans="1:2" x14ac:dyDescent="0.25">
      <c r="A315" s="114">
        <v>5250</v>
      </c>
      <c r="B315" s="115" t="s">
        <v>4158</v>
      </c>
    </row>
    <row r="316" spans="1:2" x14ac:dyDescent="0.25">
      <c r="A316" s="114">
        <v>5311</v>
      </c>
      <c r="B316" s="115" t="s">
        <v>4159</v>
      </c>
    </row>
    <row r="317" spans="1:2" x14ac:dyDescent="0.25">
      <c r="A317" s="114">
        <v>5312</v>
      </c>
      <c r="B317" s="115" t="s">
        <v>4160</v>
      </c>
    </row>
    <row r="318" spans="1:2" x14ac:dyDescent="0.25">
      <c r="A318" s="114">
        <v>5313</v>
      </c>
      <c r="B318" s="115" t="s">
        <v>4161</v>
      </c>
    </row>
    <row r="319" spans="1:2" x14ac:dyDescent="0.25">
      <c r="A319" s="114">
        <v>5314</v>
      </c>
      <c r="B319" s="115" t="s">
        <v>4162</v>
      </c>
    </row>
    <row r="320" spans="1:2" x14ac:dyDescent="0.25">
      <c r="A320" s="114">
        <v>5315</v>
      </c>
      <c r="B320" s="116" t="s">
        <v>891</v>
      </c>
    </row>
    <row r="321" spans="1:2" x14ac:dyDescent="0.25">
      <c r="A321" s="114">
        <v>5316</v>
      </c>
      <c r="B321" s="115" t="s">
        <v>4163</v>
      </c>
    </row>
    <row r="322" spans="1:2" x14ac:dyDescent="0.25">
      <c r="A322" s="114">
        <v>5317</v>
      </c>
      <c r="B322" s="115" t="s">
        <v>4164</v>
      </c>
    </row>
    <row r="323" spans="1:2" x14ac:dyDescent="0.25">
      <c r="A323" s="114">
        <v>5318</v>
      </c>
      <c r="B323" s="115" t="s">
        <v>4165</v>
      </c>
    </row>
    <row r="324" spans="1:2" x14ac:dyDescent="0.25">
      <c r="A324" s="114">
        <v>5319</v>
      </c>
      <c r="B324" s="115" t="s">
        <v>4166</v>
      </c>
    </row>
    <row r="325" spans="1:2" x14ac:dyDescent="0.25">
      <c r="A325" s="114">
        <v>5321</v>
      </c>
      <c r="B325" s="115" t="s">
        <v>892</v>
      </c>
    </row>
    <row r="326" spans="1:2" x14ac:dyDescent="0.25">
      <c r="A326" s="114">
        <v>5322</v>
      </c>
      <c r="B326" s="115" t="s">
        <v>4167</v>
      </c>
    </row>
    <row r="327" spans="1:2" x14ac:dyDescent="0.25">
      <c r="A327" s="114">
        <v>5323</v>
      </c>
      <c r="B327" s="115" t="s">
        <v>893</v>
      </c>
    </row>
    <row r="328" spans="1:2" x14ac:dyDescent="0.25">
      <c r="A328" s="114">
        <v>5324</v>
      </c>
      <c r="B328" s="115" t="s">
        <v>4168</v>
      </c>
    </row>
    <row r="329" spans="1:2" x14ac:dyDescent="0.25">
      <c r="A329" s="114">
        <v>5325</v>
      </c>
      <c r="B329" s="115" t="s">
        <v>4169</v>
      </c>
    </row>
    <row r="330" spans="1:2" x14ac:dyDescent="0.25">
      <c r="A330" s="114">
        <v>5329</v>
      </c>
      <c r="B330" s="115" t="s">
        <v>4170</v>
      </c>
    </row>
    <row r="331" spans="1:2" x14ac:dyDescent="0.25">
      <c r="A331" s="114">
        <v>5331</v>
      </c>
      <c r="B331" s="115" t="s">
        <v>4171</v>
      </c>
    </row>
    <row r="332" spans="1:2" x14ac:dyDescent="0.25">
      <c r="A332" s="114">
        <v>5332</v>
      </c>
      <c r="B332" s="115" t="s">
        <v>4172</v>
      </c>
    </row>
    <row r="333" spans="1:2" x14ac:dyDescent="0.25">
      <c r="A333" s="114">
        <v>5333</v>
      </c>
      <c r="B333" s="115" t="s">
        <v>4173</v>
      </c>
    </row>
    <row r="334" spans="1:2" x14ac:dyDescent="0.25">
      <c r="A334" s="114">
        <v>5334</v>
      </c>
      <c r="B334" s="115" t="s">
        <v>4174</v>
      </c>
    </row>
    <row r="335" spans="1:2" x14ac:dyDescent="0.25">
      <c r="A335" s="114">
        <v>5336</v>
      </c>
      <c r="B335" s="115" t="s">
        <v>4175</v>
      </c>
    </row>
    <row r="336" spans="1:2" x14ac:dyDescent="0.25">
      <c r="A336" s="114">
        <v>5339</v>
      </c>
      <c r="B336" s="115" t="s">
        <v>4176</v>
      </c>
    </row>
    <row r="337" spans="1:2" x14ac:dyDescent="0.25">
      <c r="A337" s="114">
        <v>5341</v>
      </c>
      <c r="B337" s="115" t="s">
        <v>4177</v>
      </c>
    </row>
    <row r="338" spans="1:2" x14ac:dyDescent="0.25">
      <c r="A338" s="114">
        <v>5342</v>
      </c>
      <c r="B338" s="115" t="s">
        <v>4178</v>
      </c>
    </row>
    <row r="339" spans="1:2" x14ac:dyDescent="0.25">
      <c r="A339" s="114">
        <v>5343</v>
      </c>
      <c r="B339" s="115" t="s">
        <v>4179</v>
      </c>
    </row>
    <row r="340" spans="1:2" x14ac:dyDescent="0.25">
      <c r="A340" s="114">
        <v>5344</v>
      </c>
      <c r="B340" s="115" t="s">
        <v>4180</v>
      </c>
    </row>
    <row r="341" spans="1:2" x14ac:dyDescent="0.25">
      <c r="A341" s="114">
        <v>5345</v>
      </c>
      <c r="B341" s="115" t="s">
        <v>4181</v>
      </c>
    </row>
    <row r="342" spans="1:2" x14ac:dyDescent="0.25">
      <c r="A342" s="114">
        <v>5346</v>
      </c>
      <c r="B342" s="115" t="s">
        <v>4182</v>
      </c>
    </row>
    <row r="343" spans="1:2" x14ac:dyDescent="0.25">
      <c r="A343" s="114">
        <v>5347</v>
      </c>
      <c r="B343" s="115" t="s">
        <v>4183</v>
      </c>
    </row>
    <row r="344" spans="1:2" x14ac:dyDescent="0.25">
      <c r="A344" s="114">
        <v>5348</v>
      </c>
      <c r="B344" s="115" t="s">
        <v>894</v>
      </c>
    </row>
    <row r="345" spans="1:2" x14ac:dyDescent="0.25">
      <c r="A345" s="114">
        <v>5349</v>
      </c>
      <c r="B345" s="115" t="s">
        <v>4184</v>
      </c>
    </row>
    <row r="346" spans="1:2" x14ac:dyDescent="0.25">
      <c r="A346" s="114">
        <v>5350</v>
      </c>
      <c r="B346" s="115" t="s">
        <v>4185</v>
      </c>
    </row>
    <row r="347" spans="1:2" x14ac:dyDescent="0.25">
      <c r="A347" s="114">
        <v>5361</v>
      </c>
      <c r="B347" s="115" t="s">
        <v>578</v>
      </c>
    </row>
    <row r="348" spans="1:2" x14ac:dyDescent="0.25">
      <c r="A348" s="114">
        <v>5362</v>
      </c>
      <c r="B348" s="115" t="s">
        <v>4186</v>
      </c>
    </row>
    <row r="349" spans="1:2" x14ac:dyDescent="0.25">
      <c r="A349" s="114">
        <v>5363</v>
      </c>
      <c r="B349" s="115" t="s">
        <v>895</v>
      </c>
    </row>
    <row r="350" spans="1:2" x14ac:dyDescent="0.25">
      <c r="A350" s="114">
        <v>5364</v>
      </c>
      <c r="B350" s="115" t="s">
        <v>4187</v>
      </c>
    </row>
    <row r="351" spans="1:2" x14ac:dyDescent="0.25">
      <c r="A351" s="114">
        <v>5365</v>
      </c>
      <c r="B351" s="115" t="s">
        <v>4188</v>
      </c>
    </row>
    <row r="352" spans="1:2" x14ac:dyDescent="0.25">
      <c r="A352" s="114">
        <v>5366</v>
      </c>
      <c r="B352" s="115" t="s">
        <v>4189</v>
      </c>
    </row>
    <row r="353" spans="1:2" x14ac:dyDescent="0.25">
      <c r="A353" s="114">
        <v>5367</v>
      </c>
      <c r="B353" s="115" t="s">
        <v>4190</v>
      </c>
    </row>
    <row r="354" spans="1:2" x14ac:dyDescent="0.25">
      <c r="A354" s="114">
        <v>5368</v>
      </c>
      <c r="B354" s="115" t="s">
        <v>4191</v>
      </c>
    </row>
    <row r="355" spans="1:2" x14ac:dyDescent="0.25">
      <c r="A355" s="114">
        <v>5369</v>
      </c>
      <c r="B355" s="115" t="s">
        <v>4166</v>
      </c>
    </row>
    <row r="356" spans="1:2" x14ac:dyDescent="0.25">
      <c r="A356" s="114">
        <v>5410</v>
      </c>
      <c r="B356" s="115" t="s">
        <v>896</v>
      </c>
    </row>
    <row r="357" spans="1:2" x14ac:dyDescent="0.25">
      <c r="A357" s="114">
        <v>5421</v>
      </c>
      <c r="B357" s="115" t="s">
        <v>897</v>
      </c>
    </row>
    <row r="358" spans="1:2" x14ac:dyDescent="0.25">
      <c r="A358" s="114">
        <v>5423</v>
      </c>
      <c r="B358" s="115" t="s">
        <v>4192</v>
      </c>
    </row>
    <row r="359" spans="1:2" x14ac:dyDescent="0.25">
      <c r="A359" s="114">
        <v>5424</v>
      </c>
      <c r="B359" s="115" t="s">
        <v>898</v>
      </c>
    </row>
    <row r="360" spans="1:2" x14ac:dyDescent="0.25">
      <c r="A360" s="114">
        <v>5425</v>
      </c>
      <c r="B360" s="115" t="s">
        <v>4193</v>
      </c>
    </row>
    <row r="361" spans="1:2" x14ac:dyDescent="0.25">
      <c r="A361" s="114">
        <v>5491</v>
      </c>
      <c r="B361" s="115" t="s">
        <v>4194</v>
      </c>
    </row>
    <row r="362" spans="1:2" x14ac:dyDescent="0.25">
      <c r="A362" s="114">
        <v>5492</v>
      </c>
      <c r="B362" s="115" t="s">
        <v>899</v>
      </c>
    </row>
    <row r="363" spans="1:2" x14ac:dyDescent="0.25">
      <c r="A363" s="114">
        <v>5493</v>
      </c>
      <c r="B363" s="115" t="s">
        <v>4195</v>
      </c>
    </row>
    <row r="364" spans="1:2" x14ac:dyDescent="0.25">
      <c r="A364" s="114">
        <v>5494</v>
      </c>
      <c r="B364" s="115" t="s">
        <v>4196</v>
      </c>
    </row>
    <row r="365" spans="1:2" x14ac:dyDescent="0.25">
      <c r="A365" s="114">
        <v>5495</v>
      </c>
      <c r="B365" s="115" t="s">
        <v>4197</v>
      </c>
    </row>
    <row r="366" spans="1:2" x14ac:dyDescent="0.25">
      <c r="A366" s="114">
        <v>5496</v>
      </c>
      <c r="B366" s="115" t="s">
        <v>4198</v>
      </c>
    </row>
    <row r="367" spans="1:2" x14ac:dyDescent="0.25">
      <c r="A367" s="114">
        <v>5497</v>
      </c>
      <c r="B367" s="115" t="s">
        <v>4199</v>
      </c>
    </row>
    <row r="368" spans="1:2" x14ac:dyDescent="0.25">
      <c r="A368" s="114">
        <v>5498</v>
      </c>
      <c r="B368" s="115" t="s">
        <v>4200</v>
      </c>
    </row>
    <row r="369" spans="1:2" x14ac:dyDescent="0.25">
      <c r="A369" s="114">
        <v>5499</v>
      </c>
      <c r="B369" s="115" t="s">
        <v>4201</v>
      </c>
    </row>
    <row r="370" spans="1:2" x14ac:dyDescent="0.25">
      <c r="A370" s="114">
        <v>5511</v>
      </c>
      <c r="B370" s="115" t="s">
        <v>4202</v>
      </c>
    </row>
    <row r="371" spans="1:2" x14ac:dyDescent="0.25">
      <c r="A371" s="114">
        <v>5512</v>
      </c>
      <c r="B371" s="115" t="s">
        <v>4203</v>
      </c>
    </row>
    <row r="372" spans="1:2" x14ac:dyDescent="0.25">
      <c r="A372" s="114">
        <v>5513</v>
      </c>
      <c r="B372" s="115" t="s">
        <v>4204</v>
      </c>
    </row>
    <row r="373" spans="1:2" x14ac:dyDescent="0.25">
      <c r="A373" s="114">
        <v>5514</v>
      </c>
      <c r="B373" s="115" t="s">
        <v>4205</v>
      </c>
    </row>
    <row r="374" spans="1:2" x14ac:dyDescent="0.25">
      <c r="A374" s="114">
        <v>5515</v>
      </c>
      <c r="B374" s="115" t="s">
        <v>4206</v>
      </c>
    </row>
    <row r="375" spans="1:2" x14ac:dyDescent="0.25">
      <c r="A375" s="114">
        <v>5516</v>
      </c>
      <c r="B375" s="115" t="s">
        <v>4207</v>
      </c>
    </row>
    <row r="376" spans="1:2" x14ac:dyDescent="0.25">
      <c r="A376" s="114">
        <v>5517</v>
      </c>
      <c r="B376" s="115" t="s">
        <v>4208</v>
      </c>
    </row>
    <row r="377" spans="1:2" x14ac:dyDescent="0.25">
      <c r="A377" s="114">
        <v>5520</v>
      </c>
      <c r="B377" s="115" t="s">
        <v>4209</v>
      </c>
    </row>
    <row r="378" spans="1:2" x14ac:dyDescent="0.25">
      <c r="A378" s="114">
        <v>5531</v>
      </c>
      <c r="B378" s="115" t="s">
        <v>4210</v>
      </c>
    </row>
    <row r="379" spans="1:2" x14ac:dyDescent="0.25">
      <c r="A379" s="114">
        <v>5532</v>
      </c>
      <c r="B379" s="115" t="s">
        <v>4211</v>
      </c>
    </row>
    <row r="380" spans="1:2" x14ac:dyDescent="0.25">
      <c r="A380" s="114">
        <v>5541</v>
      </c>
      <c r="B380" s="115" t="s">
        <v>4212</v>
      </c>
    </row>
    <row r="381" spans="1:2" x14ac:dyDescent="0.25">
      <c r="A381" s="114">
        <v>5542</v>
      </c>
      <c r="B381" s="115" t="s">
        <v>4213</v>
      </c>
    </row>
    <row r="382" spans="1:2" x14ac:dyDescent="0.25">
      <c r="A382" s="114">
        <v>5611</v>
      </c>
      <c r="B382" s="115" t="s">
        <v>4214</v>
      </c>
    </row>
    <row r="383" spans="1:2" x14ac:dyDescent="0.25">
      <c r="A383" s="115">
        <v>5612</v>
      </c>
      <c r="B383" s="115" t="s">
        <v>4215</v>
      </c>
    </row>
    <row r="384" spans="1:2" x14ac:dyDescent="0.25">
      <c r="A384" s="115">
        <v>5613</v>
      </c>
      <c r="B384" s="115" t="s">
        <v>4216</v>
      </c>
    </row>
    <row r="385" spans="1:2" x14ac:dyDescent="0.25">
      <c r="A385" s="115">
        <v>5614</v>
      </c>
      <c r="B385" s="116" t="s">
        <v>4217</v>
      </c>
    </row>
    <row r="386" spans="1:2" x14ac:dyDescent="0.25">
      <c r="A386" s="114">
        <v>5615</v>
      </c>
      <c r="B386" s="115" t="s">
        <v>4218</v>
      </c>
    </row>
    <row r="387" spans="1:2" x14ac:dyDescent="0.25">
      <c r="A387" s="114">
        <v>5619</v>
      </c>
      <c r="B387" s="115" t="s">
        <v>4219</v>
      </c>
    </row>
    <row r="388" spans="1:2" x14ac:dyDescent="0.25">
      <c r="A388" s="114">
        <v>5621</v>
      </c>
      <c r="B388" s="115" t="s">
        <v>4220</v>
      </c>
    </row>
    <row r="389" spans="1:2" x14ac:dyDescent="0.25">
      <c r="A389" s="114">
        <v>5622</v>
      </c>
      <c r="B389" s="115" t="s">
        <v>4221</v>
      </c>
    </row>
    <row r="390" spans="1:2" x14ac:dyDescent="0.25">
      <c r="A390" s="114">
        <v>5623</v>
      </c>
      <c r="B390" s="115" t="s">
        <v>4222</v>
      </c>
    </row>
    <row r="391" spans="1:2" x14ac:dyDescent="0.25">
      <c r="A391" s="114">
        <v>5624</v>
      </c>
      <c r="B391" s="115" t="s">
        <v>4223</v>
      </c>
    </row>
    <row r="392" spans="1:2" x14ac:dyDescent="0.25">
      <c r="A392" s="114">
        <v>5629</v>
      </c>
      <c r="B392" s="115" t="s">
        <v>4224</v>
      </c>
    </row>
    <row r="393" spans="1:2" x14ac:dyDescent="0.25">
      <c r="A393" s="114">
        <v>5631</v>
      </c>
      <c r="B393" s="115" t="s">
        <v>4225</v>
      </c>
    </row>
    <row r="394" spans="1:2" x14ac:dyDescent="0.25">
      <c r="A394" s="114">
        <v>5632</v>
      </c>
      <c r="B394" s="115" t="s">
        <v>4226</v>
      </c>
    </row>
    <row r="395" spans="1:2" x14ac:dyDescent="0.25">
      <c r="A395" s="114">
        <v>5633</v>
      </c>
      <c r="B395" s="115" t="s">
        <v>4227</v>
      </c>
    </row>
    <row r="396" spans="1:2" x14ac:dyDescent="0.25">
      <c r="A396" s="114">
        <v>5634</v>
      </c>
      <c r="B396" s="115" t="s">
        <v>4228</v>
      </c>
    </row>
    <row r="397" spans="1:2" x14ac:dyDescent="0.25">
      <c r="A397" s="114">
        <v>5639</v>
      </c>
      <c r="B397" s="115" t="s">
        <v>4229</v>
      </c>
    </row>
    <row r="398" spans="1:2" x14ac:dyDescent="0.25">
      <c r="A398" s="114">
        <v>5641</v>
      </c>
      <c r="B398" s="116" t="s">
        <v>4230</v>
      </c>
    </row>
    <row r="399" spans="1:2" x14ac:dyDescent="0.25">
      <c r="A399" s="115">
        <v>5642</v>
      </c>
      <c r="B399" s="115" t="s">
        <v>4231</v>
      </c>
    </row>
    <row r="400" spans="1:2" x14ac:dyDescent="0.25">
      <c r="A400" s="115">
        <v>5643</v>
      </c>
      <c r="B400" s="115" t="s">
        <v>4232</v>
      </c>
    </row>
    <row r="401" spans="1:2" x14ac:dyDescent="0.25">
      <c r="A401" s="115">
        <v>5649</v>
      </c>
      <c r="B401" s="115" t="s">
        <v>4233</v>
      </c>
    </row>
    <row r="402" spans="1:2" x14ac:dyDescent="0.25">
      <c r="A402" s="114">
        <v>5651</v>
      </c>
      <c r="B402" s="115" t="s">
        <v>4234</v>
      </c>
    </row>
    <row r="403" spans="1:2" x14ac:dyDescent="0.25">
      <c r="A403" s="114">
        <v>5652</v>
      </c>
      <c r="B403" s="115" t="s">
        <v>4235</v>
      </c>
    </row>
    <row r="404" spans="1:2" x14ac:dyDescent="0.25">
      <c r="A404" s="114">
        <v>5659</v>
      </c>
      <c r="B404" s="115" t="s">
        <v>4236</v>
      </c>
    </row>
    <row r="405" spans="1:2" x14ac:dyDescent="0.25">
      <c r="A405" s="114">
        <v>5660</v>
      </c>
      <c r="B405" s="115" t="s">
        <v>4237</v>
      </c>
    </row>
    <row r="406" spans="1:2" x14ac:dyDescent="0.25">
      <c r="A406" s="114">
        <v>5670</v>
      </c>
      <c r="B406" s="115" t="s">
        <v>4238</v>
      </c>
    </row>
    <row r="407" spans="1:2" x14ac:dyDescent="0.25">
      <c r="A407" s="114">
        <v>5711</v>
      </c>
      <c r="B407" s="115" t="s">
        <v>4239</v>
      </c>
    </row>
    <row r="408" spans="1:2" x14ac:dyDescent="0.25">
      <c r="A408" s="114">
        <v>5719</v>
      </c>
      <c r="B408" s="115" t="s">
        <v>4240</v>
      </c>
    </row>
    <row r="409" spans="1:2" x14ac:dyDescent="0.25">
      <c r="A409" s="114">
        <v>5811</v>
      </c>
      <c r="B409" s="115" t="s">
        <v>4241</v>
      </c>
    </row>
    <row r="410" spans="1:2" x14ac:dyDescent="0.25">
      <c r="A410" s="114">
        <v>5901</v>
      </c>
      <c r="B410" s="115" t="s">
        <v>383</v>
      </c>
    </row>
    <row r="411" spans="1:2" x14ac:dyDescent="0.25">
      <c r="A411" s="114">
        <v>5902</v>
      </c>
      <c r="B411" s="115" t="s">
        <v>4242</v>
      </c>
    </row>
    <row r="412" spans="1:2" x14ac:dyDescent="0.25">
      <c r="A412" s="114">
        <v>5903</v>
      </c>
      <c r="B412" s="115" t="s">
        <v>4243</v>
      </c>
    </row>
    <row r="413" spans="1:2" x14ac:dyDescent="0.25">
      <c r="A413" s="114">
        <v>5904</v>
      </c>
      <c r="B413" s="115" t="s">
        <v>4244</v>
      </c>
    </row>
    <row r="414" spans="1:2" x14ac:dyDescent="0.25">
      <c r="A414" s="114">
        <v>5909</v>
      </c>
      <c r="B414" s="115" t="s">
        <v>4245</v>
      </c>
    </row>
    <row r="415" spans="1:2" x14ac:dyDescent="0.25">
      <c r="A415" s="114">
        <v>5991</v>
      </c>
      <c r="B415" s="115" t="s">
        <v>4246</v>
      </c>
    </row>
    <row r="416" spans="1:2" x14ac:dyDescent="0.25">
      <c r="A416" s="114">
        <v>6111</v>
      </c>
      <c r="B416" s="115" t="s">
        <v>888</v>
      </c>
    </row>
    <row r="417" spans="1:2" x14ac:dyDescent="0.25">
      <c r="A417" s="114">
        <v>6112</v>
      </c>
      <c r="B417" s="115" t="s">
        <v>900</v>
      </c>
    </row>
    <row r="418" spans="1:2" x14ac:dyDescent="0.25">
      <c r="A418" s="114">
        <v>6113</v>
      </c>
      <c r="B418" s="115" t="s">
        <v>4247</v>
      </c>
    </row>
    <row r="419" spans="1:2" x14ac:dyDescent="0.25">
      <c r="A419" s="114">
        <v>6119</v>
      </c>
      <c r="B419" s="115" t="s">
        <v>4248</v>
      </c>
    </row>
    <row r="420" spans="1:2" x14ac:dyDescent="0.25">
      <c r="A420" s="114">
        <v>6121</v>
      </c>
      <c r="B420" s="115" t="s">
        <v>4249</v>
      </c>
    </row>
    <row r="421" spans="1:2" x14ac:dyDescent="0.25">
      <c r="A421" s="114">
        <v>6122</v>
      </c>
      <c r="B421" s="115" t="s">
        <v>4250</v>
      </c>
    </row>
    <row r="422" spans="1:2" x14ac:dyDescent="0.25">
      <c r="A422" s="114">
        <v>6123</v>
      </c>
      <c r="B422" s="115" t="s">
        <v>901</v>
      </c>
    </row>
    <row r="423" spans="1:2" x14ac:dyDescent="0.25">
      <c r="A423" s="114">
        <v>6124</v>
      </c>
      <c r="B423" s="115" t="s">
        <v>4251</v>
      </c>
    </row>
    <row r="424" spans="1:2" x14ac:dyDescent="0.25">
      <c r="A424" s="114">
        <v>6125</v>
      </c>
      <c r="B424" s="115" t="s">
        <v>587</v>
      </c>
    </row>
    <row r="425" spans="1:2" x14ac:dyDescent="0.25">
      <c r="A425" s="114">
        <v>6127</v>
      </c>
      <c r="B425" s="115" t="s">
        <v>4252</v>
      </c>
    </row>
    <row r="426" spans="1:2" x14ac:dyDescent="0.25">
      <c r="A426" s="114">
        <v>6129</v>
      </c>
      <c r="B426" s="115" t="s">
        <v>4253</v>
      </c>
    </row>
    <row r="427" spans="1:2" x14ac:dyDescent="0.25">
      <c r="A427" s="114">
        <v>6130</v>
      </c>
      <c r="B427" s="115" t="s">
        <v>622</v>
      </c>
    </row>
    <row r="428" spans="1:2" x14ac:dyDescent="0.25">
      <c r="A428" s="114">
        <v>6141</v>
      </c>
      <c r="B428" s="115" t="s">
        <v>4254</v>
      </c>
    </row>
    <row r="429" spans="1:2" x14ac:dyDescent="0.25">
      <c r="A429" s="114">
        <v>6142</v>
      </c>
      <c r="B429" s="115" t="s">
        <v>4255</v>
      </c>
    </row>
    <row r="430" spans="1:2" x14ac:dyDescent="0.25">
      <c r="A430" s="114">
        <v>6201</v>
      </c>
      <c r="B430" s="115" t="s">
        <v>902</v>
      </c>
    </row>
    <row r="431" spans="1:2" x14ac:dyDescent="0.25">
      <c r="A431" s="114">
        <v>6202</v>
      </c>
      <c r="B431" s="115" t="s">
        <v>903</v>
      </c>
    </row>
    <row r="432" spans="1:2" x14ac:dyDescent="0.25">
      <c r="A432" s="114">
        <v>6209</v>
      </c>
      <c r="B432" s="115" t="s">
        <v>4256</v>
      </c>
    </row>
    <row r="433" spans="1:2" x14ac:dyDescent="0.25">
      <c r="A433" s="114">
        <v>6211</v>
      </c>
      <c r="B433" s="115" t="s">
        <v>4257</v>
      </c>
    </row>
    <row r="434" spans="1:2" x14ac:dyDescent="0.25">
      <c r="A434" s="114">
        <v>6212</v>
      </c>
      <c r="B434" s="115" t="s">
        <v>4258</v>
      </c>
    </row>
    <row r="435" spans="1:2" x14ac:dyDescent="0.25">
      <c r="A435" s="114">
        <v>6213</v>
      </c>
      <c r="B435" s="115" t="s">
        <v>4259</v>
      </c>
    </row>
    <row r="436" spans="1:2" x14ac:dyDescent="0.25">
      <c r="A436" s="114">
        <v>6311</v>
      </c>
      <c r="B436" s="115" t="s">
        <v>4260</v>
      </c>
    </row>
    <row r="437" spans="1:2" x14ac:dyDescent="0.25">
      <c r="A437" s="114">
        <v>6312</v>
      </c>
      <c r="B437" s="115" t="s">
        <v>4261</v>
      </c>
    </row>
    <row r="438" spans="1:2" x14ac:dyDescent="0.25">
      <c r="A438" s="114">
        <v>6313</v>
      </c>
      <c r="B438" s="115" t="s">
        <v>4262</v>
      </c>
    </row>
    <row r="439" spans="1:2" x14ac:dyDescent="0.25">
      <c r="A439" s="114">
        <v>6314</v>
      </c>
      <c r="B439" s="115" t="s">
        <v>4263</v>
      </c>
    </row>
    <row r="440" spans="1:2" x14ac:dyDescent="0.25">
      <c r="A440" s="114">
        <v>6315</v>
      </c>
      <c r="B440" s="115" t="s">
        <v>4264</v>
      </c>
    </row>
    <row r="441" spans="1:2" x14ac:dyDescent="0.25">
      <c r="A441" s="114">
        <v>6316</v>
      </c>
      <c r="B441" s="115" t="s">
        <v>4265</v>
      </c>
    </row>
    <row r="442" spans="1:2" x14ac:dyDescent="0.25">
      <c r="A442" s="114">
        <v>6319</v>
      </c>
      <c r="B442" s="115" t="s">
        <v>4266</v>
      </c>
    </row>
    <row r="443" spans="1:2" x14ac:dyDescent="0.25">
      <c r="A443" s="114">
        <v>6321</v>
      </c>
      <c r="B443" s="115" t="s">
        <v>4267</v>
      </c>
    </row>
    <row r="444" spans="1:2" x14ac:dyDescent="0.25">
      <c r="A444" s="114">
        <v>6322</v>
      </c>
      <c r="B444" s="115" t="s">
        <v>4268</v>
      </c>
    </row>
    <row r="445" spans="1:2" x14ac:dyDescent="0.25">
      <c r="A445" s="114">
        <v>6323</v>
      </c>
      <c r="B445" s="115" t="s">
        <v>4269</v>
      </c>
    </row>
    <row r="446" spans="1:2" x14ac:dyDescent="0.25">
      <c r="A446" s="114">
        <v>6324</v>
      </c>
      <c r="B446" s="115" t="s">
        <v>4270</v>
      </c>
    </row>
    <row r="447" spans="1:2" x14ac:dyDescent="0.25">
      <c r="A447" s="114">
        <v>6329</v>
      </c>
      <c r="B447" s="115" t="s">
        <v>4271</v>
      </c>
    </row>
    <row r="448" spans="1:2" x14ac:dyDescent="0.25">
      <c r="A448" s="114">
        <v>6331</v>
      </c>
      <c r="B448" s="115" t="s">
        <v>4272</v>
      </c>
    </row>
    <row r="449" spans="1:2" x14ac:dyDescent="0.25">
      <c r="A449" s="114">
        <v>6332</v>
      </c>
      <c r="B449" s="115" t="s">
        <v>4273</v>
      </c>
    </row>
    <row r="450" spans="1:2" x14ac:dyDescent="0.25">
      <c r="A450" s="114">
        <v>6333</v>
      </c>
      <c r="B450" s="115" t="s">
        <v>4274</v>
      </c>
    </row>
    <row r="451" spans="1:2" x14ac:dyDescent="0.25">
      <c r="A451" s="114">
        <v>6334</v>
      </c>
      <c r="B451" s="115" t="s">
        <v>4275</v>
      </c>
    </row>
    <row r="452" spans="1:2" x14ac:dyDescent="0.25">
      <c r="A452" s="114">
        <v>6335</v>
      </c>
      <c r="B452" s="115" t="s">
        <v>4276</v>
      </c>
    </row>
    <row r="453" spans="1:2" x14ac:dyDescent="0.25">
      <c r="A453" s="114">
        <v>6339</v>
      </c>
      <c r="B453" s="115" t="s">
        <v>4277</v>
      </c>
    </row>
    <row r="454" spans="1:2" x14ac:dyDescent="0.25">
      <c r="A454" s="114">
        <v>6341</v>
      </c>
      <c r="B454" s="115" t="s">
        <v>4278</v>
      </c>
    </row>
    <row r="455" spans="1:2" x14ac:dyDescent="0.25">
      <c r="A455" s="114">
        <v>6342</v>
      </c>
      <c r="B455" s="115" t="s">
        <v>4279</v>
      </c>
    </row>
    <row r="456" spans="1:2" x14ac:dyDescent="0.25">
      <c r="A456" s="114">
        <v>6343</v>
      </c>
      <c r="B456" s="115" t="s">
        <v>4280</v>
      </c>
    </row>
    <row r="457" spans="1:2" x14ac:dyDescent="0.25">
      <c r="A457" s="114">
        <v>6344</v>
      </c>
      <c r="B457" s="115" t="s">
        <v>4281</v>
      </c>
    </row>
    <row r="458" spans="1:2" x14ac:dyDescent="0.25">
      <c r="A458" s="114">
        <v>6345</v>
      </c>
      <c r="B458" s="115" t="s">
        <v>4282</v>
      </c>
    </row>
    <row r="459" spans="1:2" x14ac:dyDescent="0.25">
      <c r="A459" s="114">
        <v>6349</v>
      </c>
      <c r="B459" s="115" t="s">
        <v>4283</v>
      </c>
    </row>
    <row r="460" spans="1:2" x14ac:dyDescent="0.25">
      <c r="A460" s="114">
        <v>6351</v>
      </c>
      <c r="B460" s="115" t="s">
        <v>4284</v>
      </c>
    </row>
    <row r="461" spans="1:2" x14ac:dyDescent="0.25">
      <c r="A461" s="114">
        <v>6352</v>
      </c>
      <c r="B461" s="115" t="s">
        <v>4285</v>
      </c>
    </row>
    <row r="462" spans="1:2" x14ac:dyDescent="0.25">
      <c r="A462" s="114">
        <v>6353</v>
      </c>
      <c r="B462" s="115" t="s">
        <v>4286</v>
      </c>
    </row>
    <row r="463" spans="1:2" x14ac:dyDescent="0.25">
      <c r="A463" s="114">
        <v>6354</v>
      </c>
      <c r="B463" s="115" t="s">
        <v>4287</v>
      </c>
    </row>
    <row r="464" spans="1:2" x14ac:dyDescent="0.25">
      <c r="A464" s="114">
        <v>6356</v>
      </c>
      <c r="B464" s="115" t="s">
        <v>4288</v>
      </c>
    </row>
    <row r="465" spans="1:2" x14ac:dyDescent="0.25">
      <c r="A465" s="114">
        <v>6359</v>
      </c>
      <c r="B465" s="115" t="s">
        <v>4289</v>
      </c>
    </row>
    <row r="466" spans="1:2" x14ac:dyDescent="0.25">
      <c r="A466" s="114">
        <v>6361</v>
      </c>
      <c r="B466" s="115" t="s">
        <v>4290</v>
      </c>
    </row>
    <row r="467" spans="1:2" x14ac:dyDescent="0.25">
      <c r="A467" s="115">
        <v>6362</v>
      </c>
      <c r="B467" s="115" t="s">
        <v>4291</v>
      </c>
    </row>
    <row r="468" spans="1:2" x14ac:dyDescent="0.25">
      <c r="A468" s="115">
        <v>6363</v>
      </c>
      <c r="B468" s="115" t="s">
        <v>4292</v>
      </c>
    </row>
    <row r="469" spans="1:2" x14ac:dyDescent="0.25">
      <c r="A469" s="114">
        <v>6371</v>
      </c>
      <c r="B469" s="115" t="s">
        <v>4293</v>
      </c>
    </row>
    <row r="470" spans="1:2" x14ac:dyDescent="0.25">
      <c r="A470" s="114">
        <v>6379</v>
      </c>
      <c r="B470" s="115" t="s">
        <v>4294</v>
      </c>
    </row>
    <row r="471" spans="1:2" x14ac:dyDescent="0.25">
      <c r="A471" s="114">
        <v>6380</v>
      </c>
      <c r="B471" s="115" t="s">
        <v>4295</v>
      </c>
    </row>
    <row r="472" spans="1:2" x14ac:dyDescent="0.25">
      <c r="A472" s="114">
        <v>6411</v>
      </c>
      <c r="B472" s="115" t="s">
        <v>4296</v>
      </c>
    </row>
    <row r="473" spans="1:2" x14ac:dyDescent="0.25">
      <c r="A473" s="114">
        <v>6412</v>
      </c>
      <c r="B473" s="115" t="s">
        <v>4297</v>
      </c>
    </row>
    <row r="474" spans="1:2" x14ac:dyDescent="0.25">
      <c r="A474" s="114">
        <v>6413</v>
      </c>
      <c r="B474" s="115" t="s">
        <v>4298</v>
      </c>
    </row>
    <row r="475" spans="1:2" x14ac:dyDescent="0.25">
      <c r="A475" s="114">
        <v>6414</v>
      </c>
      <c r="B475" s="115" t="s">
        <v>4299</v>
      </c>
    </row>
    <row r="476" spans="1:2" x14ac:dyDescent="0.25">
      <c r="A476" s="114">
        <v>6415</v>
      </c>
      <c r="B476" s="115" t="s">
        <v>4300</v>
      </c>
    </row>
    <row r="477" spans="1:2" x14ac:dyDescent="0.25">
      <c r="A477" s="114">
        <v>6419</v>
      </c>
      <c r="B477" s="115" t="s">
        <v>4301</v>
      </c>
    </row>
    <row r="478" spans="1:2" x14ac:dyDescent="0.25">
      <c r="A478" s="114">
        <v>6421</v>
      </c>
      <c r="B478" s="115" t="s">
        <v>4302</v>
      </c>
    </row>
    <row r="479" spans="1:2" x14ac:dyDescent="0.25">
      <c r="A479" s="114">
        <v>6422</v>
      </c>
      <c r="B479" s="115" t="s">
        <v>4303</v>
      </c>
    </row>
    <row r="480" spans="1:2" x14ac:dyDescent="0.25">
      <c r="A480" s="114">
        <v>6423</v>
      </c>
      <c r="B480" s="115" t="s">
        <v>4304</v>
      </c>
    </row>
    <row r="481" spans="1:2" x14ac:dyDescent="0.25">
      <c r="A481" s="114">
        <v>6424</v>
      </c>
      <c r="B481" s="115" t="s">
        <v>4305</v>
      </c>
    </row>
    <row r="482" spans="1:2" x14ac:dyDescent="0.25">
      <c r="A482" s="114">
        <v>6429</v>
      </c>
      <c r="B482" s="115" t="s">
        <v>4306</v>
      </c>
    </row>
    <row r="483" spans="1:2" x14ac:dyDescent="0.25">
      <c r="A483" s="114">
        <v>6431</v>
      </c>
      <c r="B483" s="115" t="s">
        <v>4307</v>
      </c>
    </row>
    <row r="484" spans="1:2" x14ac:dyDescent="0.25">
      <c r="A484" s="114">
        <v>6432</v>
      </c>
      <c r="B484" s="115" t="s">
        <v>4308</v>
      </c>
    </row>
    <row r="485" spans="1:2" x14ac:dyDescent="0.25">
      <c r="A485" s="114">
        <v>6433</v>
      </c>
      <c r="B485" s="115" t="s">
        <v>4309</v>
      </c>
    </row>
    <row r="486" spans="1:2" x14ac:dyDescent="0.25">
      <c r="A486" s="114">
        <v>6434</v>
      </c>
      <c r="B486" s="115" t="s">
        <v>4310</v>
      </c>
    </row>
    <row r="487" spans="1:2" x14ac:dyDescent="0.25">
      <c r="A487" s="114">
        <v>6439</v>
      </c>
      <c r="B487" s="115" t="s">
        <v>4311</v>
      </c>
    </row>
    <row r="488" spans="1:2" x14ac:dyDescent="0.25">
      <c r="A488" s="114">
        <v>6441</v>
      </c>
      <c r="B488" s="115" t="s">
        <v>4312</v>
      </c>
    </row>
    <row r="489" spans="1:2" x14ac:dyDescent="0.25">
      <c r="A489" s="114">
        <v>6442</v>
      </c>
      <c r="B489" s="115" t="s">
        <v>4313</v>
      </c>
    </row>
    <row r="490" spans="1:2" x14ac:dyDescent="0.25">
      <c r="A490" s="114">
        <v>6443</v>
      </c>
      <c r="B490" s="115" t="s">
        <v>4314</v>
      </c>
    </row>
    <row r="491" spans="1:2" x14ac:dyDescent="0.25">
      <c r="A491" s="114">
        <v>6449</v>
      </c>
      <c r="B491" s="115" t="s">
        <v>4315</v>
      </c>
    </row>
    <row r="492" spans="1:2" x14ac:dyDescent="0.25">
      <c r="A492" s="114">
        <v>6451</v>
      </c>
      <c r="B492" s="115" t="s">
        <v>4316</v>
      </c>
    </row>
    <row r="493" spans="1:2" x14ac:dyDescent="0.25">
      <c r="A493" s="114">
        <v>6452</v>
      </c>
      <c r="B493" s="115" t="s">
        <v>4317</v>
      </c>
    </row>
    <row r="494" spans="1:2" x14ac:dyDescent="0.25">
      <c r="A494" s="114">
        <v>6459</v>
      </c>
      <c r="B494" s="115" t="s">
        <v>4318</v>
      </c>
    </row>
    <row r="495" spans="1:2" x14ac:dyDescent="0.25">
      <c r="A495" s="114">
        <v>6460</v>
      </c>
      <c r="B495" s="115" t="s">
        <v>4319</v>
      </c>
    </row>
    <row r="496" spans="1:2" x14ac:dyDescent="0.25">
      <c r="A496" s="114">
        <v>6470</v>
      </c>
      <c r="B496" s="115" t="s">
        <v>4320</v>
      </c>
    </row>
    <row r="497" spans="1:2" x14ac:dyDescent="0.25">
      <c r="A497" s="115">
        <v>6711</v>
      </c>
      <c r="B497" s="115" t="s">
        <v>4321</v>
      </c>
    </row>
    <row r="498" spans="1:2" x14ac:dyDescent="0.25">
      <c r="A498" s="115">
        <v>6901</v>
      </c>
      <c r="B498" s="115" t="s">
        <v>904</v>
      </c>
    </row>
    <row r="499" spans="1:2" x14ac:dyDescent="0.25">
      <c r="A499" s="178">
        <v>6909</v>
      </c>
      <c r="B499" s="178" t="s">
        <v>4322</v>
      </c>
    </row>
    <row r="500" spans="1:2" x14ac:dyDescent="0.25">
      <c r="A500" s="178">
        <v>8111</v>
      </c>
      <c r="B500" s="178" t="s">
        <v>905</v>
      </c>
    </row>
    <row r="501" spans="1:2" x14ac:dyDescent="0.25">
      <c r="A501" s="178">
        <v>8112</v>
      </c>
      <c r="B501" s="178" t="s">
        <v>4323</v>
      </c>
    </row>
    <row r="502" spans="1:2" x14ac:dyDescent="0.25">
      <c r="A502" s="178">
        <v>8113</v>
      </c>
      <c r="B502" s="178" t="s">
        <v>4324</v>
      </c>
    </row>
    <row r="503" spans="1:2" x14ac:dyDescent="0.25">
      <c r="A503" s="178">
        <v>8114</v>
      </c>
      <c r="B503" s="178" t="s">
        <v>4325</v>
      </c>
    </row>
    <row r="504" spans="1:2" x14ac:dyDescent="0.25">
      <c r="A504" s="178">
        <v>8115</v>
      </c>
      <c r="B504" s="178" t="s">
        <v>4326</v>
      </c>
    </row>
    <row r="505" spans="1:2" x14ac:dyDescent="0.25">
      <c r="A505" s="178">
        <v>8116</v>
      </c>
      <c r="B505" s="178" t="s">
        <v>4327</v>
      </c>
    </row>
    <row r="506" spans="1:2" x14ac:dyDescent="0.25">
      <c r="A506" s="178">
        <v>8117</v>
      </c>
      <c r="B506" s="178" t="s">
        <v>4328</v>
      </c>
    </row>
    <row r="507" spans="1:2" x14ac:dyDescent="0.25">
      <c r="A507" s="178">
        <v>8118</v>
      </c>
      <c r="B507" s="178" t="s">
        <v>4329</v>
      </c>
    </row>
    <row r="508" spans="1:2" x14ac:dyDescent="0.25">
      <c r="A508" s="178">
        <v>8121</v>
      </c>
      <c r="B508" s="178" t="s">
        <v>906</v>
      </c>
    </row>
    <row r="509" spans="1:2" x14ac:dyDescent="0.25">
      <c r="A509" s="178">
        <v>8122</v>
      </c>
      <c r="B509" s="178" t="s">
        <v>4330</v>
      </c>
    </row>
    <row r="510" spans="1:2" x14ac:dyDescent="0.25">
      <c r="A510" s="178">
        <v>8123</v>
      </c>
      <c r="B510" s="178" t="s">
        <v>4331</v>
      </c>
    </row>
    <row r="511" spans="1:2" x14ac:dyDescent="0.25">
      <c r="A511" s="178">
        <v>8124</v>
      </c>
      <c r="B511" s="178" t="s">
        <v>4332</v>
      </c>
    </row>
    <row r="512" spans="1:2" x14ac:dyDescent="0.25">
      <c r="A512" s="178">
        <v>8125</v>
      </c>
      <c r="B512" s="178" t="s">
        <v>4333</v>
      </c>
    </row>
    <row r="513" spans="1:2" x14ac:dyDescent="0.25">
      <c r="A513" s="178">
        <v>8127</v>
      </c>
      <c r="B513" s="178" t="s">
        <v>4334</v>
      </c>
    </row>
    <row r="514" spans="1:2" x14ac:dyDescent="0.25">
      <c r="A514" s="178">
        <v>8128</v>
      </c>
      <c r="B514" s="178" t="s">
        <v>4335</v>
      </c>
    </row>
    <row r="515" spans="1:2" x14ac:dyDescent="0.25">
      <c r="A515" s="178">
        <v>8211</v>
      </c>
      <c r="B515" s="178" t="s">
        <v>905</v>
      </c>
    </row>
    <row r="516" spans="1:2" x14ac:dyDescent="0.25">
      <c r="A516" s="178">
        <v>8212</v>
      </c>
      <c r="B516" s="178" t="s">
        <v>4323</v>
      </c>
    </row>
    <row r="517" spans="1:2" x14ac:dyDescent="0.25">
      <c r="A517" s="178">
        <v>8213</v>
      </c>
      <c r="B517" s="178" t="s">
        <v>4324</v>
      </c>
    </row>
    <row r="518" spans="1:2" x14ac:dyDescent="0.25">
      <c r="A518" s="178">
        <v>8214</v>
      </c>
      <c r="B518" s="178" t="s">
        <v>4336</v>
      </c>
    </row>
    <row r="519" spans="1:2" x14ac:dyDescent="0.25">
      <c r="A519" s="178">
        <v>8215</v>
      </c>
      <c r="B519" s="178" t="s">
        <v>4337</v>
      </c>
    </row>
    <row r="520" spans="1:2" x14ac:dyDescent="0.25">
      <c r="A520" s="178">
        <v>8216</v>
      </c>
      <c r="B520" s="178" t="s">
        <v>4338</v>
      </c>
    </row>
    <row r="521" spans="1:2" x14ac:dyDescent="0.25">
      <c r="A521" s="178">
        <v>8217</v>
      </c>
      <c r="B521" s="178" t="s">
        <v>4328</v>
      </c>
    </row>
    <row r="522" spans="1:2" x14ac:dyDescent="0.25">
      <c r="A522" s="178">
        <v>8218</v>
      </c>
      <c r="B522" s="178" t="s">
        <v>4329</v>
      </c>
    </row>
    <row r="523" spans="1:2" x14ac:dyDescent="0.25">
      <c r="A523" s="178">
        <v>8221</v>
      </c>
      <c r="B523" s="178" t="s">
        <v>906</v>
      </c>
    </row>
    <row r="524" spans="1:2" x14ac:dyDescent="0.25">
      <c r="A524" s="178">
        <v>8222</v>
      </c>
      <c r="B524" s="178" t="s">
        <v>4330</v>
      </c>
    </row>
    <row r="525" spans="1:2" x14ac:dyDescent="0.25">
      <c r="A525" s="178">
        <v>8223</v>
      </c>
      <c r="B525" s="178" t="s">
        <v>4331</v>
      </c>
    </row>
    <row r="526" spans="1:2" x14ac:dyDescent="0.25">
      <c r="A526" s="178">
        <v>8224</v>
      </c>
      <c r="B526" s="178" t="s">
        <v>4332</v>
      </c>
    </row>
    <row r="527" spans="1:2" x14ac:dyDescent="0.25">
      <c r="A527" s="178">
        <v>8225</v>
      </c>
      <c r="B527" s="178" t="s">
        <v>4333</v>
      </c>
    </row>
    <row r="528" spans="1:2" x14ac:dyDescent="0.25">
      <c r="A528" s="178">
        <v>8227</v>
      </c>
      <c r="B528" s="178" t="s">
        <v>4334</v>
      </c>
    </row>
    <row r="529" spans="1:2" x14ac:dyDescent="0.25">
      <c r="A529" s="178">
        <v>8228</v>
      </c>
      <c r="B529" s="178" t="s">
        <v>4335</v>
      </c>
    </row>
    <row r="530" spans="1:2" x14ac:dyDescent="0.25">
      <c r="A530" s="178">
        <v>8300</v>
      </c>
      <c r="B530" s="178" t="s">
        <v>4339</v>
      </c>
    </row>
    <row r="531" spans="1:2" x14ac:dyDescent="0.25">
      <c r="A531" s="178">
        <v>8301</v>
      </c>
      <c r="B531" s="178" t="s">
        <v>4340</v>
      </c>
    </row>
    <row r="532" spans="1:2" x14ac:dyDescent="0.25">
      <c r="A532" s="178">
        <v>8302</v>
      </c>
      <c r="B532" s="178" t="s">
        <v>4341</v>
      </c>
    </row>
    <row r="533" spans="1:2" x14ac:dyDescent="0.25">
      <c r="A533" s="178">
        <v>8413</v>
      </c>
      <c r="B533" s="178" t="s">
        <v>4324</v>
      </c>
    </row>
    <row r="534" spans="1:2" x14ac:dyDescent="0.25">
      <c r="A534" s="178">
        <v>8414</v>
      </c>
      <c r="B534" s="178" t="s">
        <v>4336</v>
      </c>
    </row>
    <row r="535" spans="1:2" x14ac:dyDescent="0.25">
      <c r="A535" s="178">
        <v>8417</v>
      </c>
      <c r="B535" s="178" t="s">
        <v>4342</v>
      </c>
    </row>
    <row r="536" spans="1:2" x14ac:dyDescent="0.25">
      <c r="A536" s="178">
        <v>8418</v>
      </c>
      <c r="B536" s="178" t="s">
        <v>4343</v>
      </c>
    </row>
    <row r="537" spans="1:2" x14ac:dyDescent="0.25">
      <c r="A537" s="178">
        <v>8427</v>
      </c>
      <c r="B537" s="178" t="s">
        <v>4344</v>
      </c>
    </row>
    <row r="538" spans="1:2" x14ac:dyDescent="0.25">
      <c r="A538" s="178">
        <v>8428</v>
      </c>
      <c r="B538" s="178" t="s">
        <v>4345</v>
      </c>
    </row>
    <row r="539" spans="1:2" x14ac:dyDescent="0.25">
      <c r="A539" s="178">
        <v>8901</v>
      </c>
      <c r="B539" s="178" t="s">
        <v>4346</v>
      </c>
    </row>
    <row r="540" spans="1:2" x14ac:dyDescent="0.25">
      <c r="A540" s="178">
        <v>8902</v>
      </c>
      <c r="B540" s="178" t="s">
        <v>4347</v>
      </c>
    </row>
    <row r="541" spans="1:2" x14ac:dyDescent="0.25">
      <c r="A541" s="178">
        <v>8905</v>
      </c>
      <c r="B541" s="178" t="s">
        <v>4348</v>
      </c>
    </row>
  </sheetData>
  <pageMargins left="0.23622047244094491" right="0.23622047244094491" top="0" bottom="0" header="0" footer="0"/>
  <pageSetup paperSize="9" fitToWidth="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61"/>
  <sheetViews>
    <sheetView topLeftCell="A1201" zoomScaleNormal="100" workbookViewId="0">
      <selection activeCell="K180" sqref="K179:K180"/>
    </sheetView>
  </sheetViews>
  <sheetFormatPr defaultColWidth="1.7109375" defaultRowHeight="15" x14ac:dyDescent="0.25"/>
  <cols>
    <col min="1" max="1" width="12.28515625" style="118" bestFit="1" customWidth="1"/>
    <col min="2" max="2" width="90.5703125" style="118" customWidth="1"/>
    <col min="3" max="219" width="1.7109375" style="113"/>
    <col min="220" max="220" width="12.28515625" style="113" bestFit="1" customWidth="1"/>
    <col min="221" max="221" width="90.5703125" style="113" customWidth="1"/>
    <col min="222" max="475" width="1.7109375" style="113"/>
    <col min="476" max="476" width="12.28515625" style="113" bestFit="1" customWidth="1"/>
    <col min="477" max="477" width="90.5703125" style="113" customWidth="1"/>
    <col min="478" max="731" width="1.7109375" style="113"/>
    <col min="732" max="732" width="12.28515625" style="113" bestFit="1" customWidth="1"/>
    <col min="733" max="733" width="90.5703125" style="113" customWidth="1"/>
    <col min="734" max="987" width="1.7109375" style="113"/>
    <col min="988" max="988" width="12.28515625" style="113" bestFit="1" customWidth="1"/>
    <col min="989" max="989" width="90.5703125" style="113" customWidth="1"/>
    <col min="990" max="1243" width="1.7109375" style="113"/>
    <col min="1244" max="1244" width="12.28515625" style="113" bestFit="1" customWidth="1"/>
    <col min="1245" max="1245" width="90.5703125" style="113" customWidth="1"/>
    <col min="1246" max="1499" width="1.7109375" style="113"/>
    <col min="1500" max="1500" width="12.28515625" style="113" bestFit="1" customWidth="1"/>
    <col min="1501" max="1501" width="90.5703125" style="113" customWidth="1"/>
    <col min="1502" max="1755" width="1.7109375" style="113"/>
    <col min="1756" max="1756" width="12.28515625" style="113" bestFit="1" customWidth="1"/>
    <col min="1757" max="1757" width="90.5703125" style="113" customWidth="1"/>
    <col min="1758" max="2011" width="1.7109375" style="113"/>
    <col min="2012" max="2012" width="12.28515625" style="113" bestFit="1" customWidth="1"/>
    <col min="2013" max="2013" width="90.5703125" style="113" customWidth="1"/>
    <col min="2014" max="2267" width="1.7109375" style="113"/>
    <col min="2268" max="2268" width="12.28515625" style="113" bestFit="1" customWidth="1"/>
    <col min="2269" max="2269" width="90.5703125" style="113" customWidth="1"/>
    <col min="2270" max="2523" width="1.7109375" style="113"/>
    <col min="2524" max="2524" width="12.28515625" style="113" bestFit="1" customWidth="1"/>
    <col min="2525" max="2525" width="90.5703125" style="113" customWidth="1"/>
    <col min="2526" max="2779" width="1.7109375" style="113"/>
    <col min="2780" max="2780" width="12.28515625" style="113" bestFit="1" customWidth="1"/>
    <col min="2781" max="2781" width="90.5703125" style="113" customWidth="1"/>
    <col min="2782" max="3035" width="1.7109375" style="113"/>
    <col min="3036" max="3036" width="12.28515625" style="113" bestFit="1" customWidth="1"/>
    <col min="3037" max="3037" width="90.5703125" style="113" customWidth="1"/>
    <col min="3038" max="3291" width="1.7109375" style="113"/>
    <col min="3292" max="3292" width="12.28515625" style="113" bestFit="1" customWidth="1"/>
    <col min="3293" max="3293" width="90.5703125" style="113" customWidth="1"/>
    <col min="3294" max="3547" width="1.7109375" style="113"/>
    <col min="3548" max="3548" width="12.28515625" style="113" bestFit="1" customWidth="1"/>
    <col min="3549" max="3549" width="90.5703125" style="113" customWidth="1"/>
    <col min="3550" max="3803" width="1.7109375" style="113"/>
    <col min="3804" max="3804" width="12.28515625" style="113" bestFit="1" customWidth="1"/>
    <col min="3805" max="3805" width="90.5703125" style="113" customWidth="1"/>
    <col min="3806" max="4059" width="1.7109375" style="113"/>
    <col min="4060" max="4060" width="12.28515625" style="113" bestFit="1" customWidth="1"/>
    <col min="4061" max="4061" width="90.5703125" style="113" customWidth="1"/>
    <col min="4062" max="4315" width="1.7109375" style="113"/>
    <col min="4316" max="4316" width="12.28515625" style="113" bestFit="1" customWidth="1"/>
    <col min="4317" max="4317" width="90.5703125" style="113" customWidth="1"/>
    <col min="4318" max="4571" width="1.7109375" style="113"/>
    <col min="4572" max="4572" width="12.28515625" style="113" bestFit="1" customWidth="1"/>
    <col min="4573" max="4573" width="90.5703125" style="113" customWidth="1"/>
    <col min="4574" max="4827" width="1.7109375" style="113"/>
    <col min="4828" max="4828" width="12.28515625" style="113" bestFit="1" customWidth="1"/>
    <col min="4829" max="4829" width="90.5703125" style="113" customWidth="1"/>
    <col min="4830" max="5083" width="1.7109375" style="113"/>
    <col min="5084" max="5084" width="12.28515625" style="113" bestFit="1" customWidth="1"/>
    <col min="5085" max="5085" width="90.5703125" style="113" customWidth="1"/>
    <col min="5086" max="5339" width="1.7109375" style="113"/>
    <col min="5340" max="5340" width="12.28515625" style="113" bestFit="1" customWidth="1"/>
    <col min="5341" max="5341" width="90.5703125" style="113" customWidth="1"/>
    <col min="5342" max="5595" width="1.7109375" style="113"/>
    <col min="5596" max="5596" width="12.28515625" style="113" bestFit="1" customWidth="1"/>
    <col min="5597" max="5597" width="90.5703125" style="113" customWidth="1"/>
    <col min="5598" max="5851" width="1.7109375" style="113"/>
    <col min="5852" max="5852" width="12.28515625" style="113" bestFit="1" customWidth="1"/>
    <col min="5853" max="5853" width="90.5703125" style="113" customWidth="1"/>
    <col min="5854" max="6107" width="1.7109375" style="113"/>
    <col min="6108" max="6108" width="12.28515625" style="113" bestFit="1" customWidth="1"/>
    <col min="6109" max="6109" width="90.5703125" style="113" customWidth="1"/>
    <col min="6110" max="6363" width="1.7109375" style="113"/>
    <col min="6364" max="6364" width="12.28515625" style="113" bestFit="1" customWidth="1"/>
    <col min="6365" max="6365" width="90.5703125" style="113" customWidth="1"/>
    <col min="6366" max="6619" width="1.7109375" style="113"/>
    <col min="6620" max="6620" width="12.28515625" style="113" bestFit="1" customWidth="1"/>
    <col min="6621" max="6621" width="90.5703125" style="113" customWidth="1"/>
    <col min="6622" max="6875" width="1.7109375" style="113"/>
    <col min="6876" max="6876" width="12.28515625" style="113" bestFit="1" customWidth="1"/>
    <col min="6877" max="6877" width="90.5703125" style="113" customWidth="1"/>
    <col min="6878" max="7131" width="1.7109375" style="113"/>
    <col min="7132" max="7132" width="12.28515625" style="113" bestFit="1" customWidth="1"/>
    <col min="7133" max="7133" width="90.5703125" style="113" customWidth="1"/>
    <col min="7134" max="7387" width="1.7109375" style="113"/>
    <col min="7388" max="7388" width="12.28515625" style="113" bestFit="1" customWidth="1"/>
    <col min="7389" max="7389" width="90.5703125" style="113" customWidth="1"/>
    <col min="7390" max="7643" width="1.7109375" style="113"/>
    <col min="7644" max="7644" width="12.28515625" style="113" bestFit="1" customWidth="1"/>
    <col min="7645" max="7645" width="90.5703125" style="113" customWidth="1"/>
    <col min="7646" max="7899" width="1.7109375" style="113"/>
    <col min="7900" max="7900" width="12.28515625" style="113" bestFit="1" customWidth="1"/>
    <col min="7901" max="7901" width="90.5703125" style="113" customWidth="1"/>
    <col min="7902" max="8155" width="1.7109375" style="113"/>
    <col min="8156" max="8156" width="12.28515625" style="113" bestFit="1" customWidth="1"/>
    <col min="8157" max="8157" width="90.5703125" style="113" customWidth="1"/>
    <col min="8158" max="8411" width="1.7109375" style="113"/>
    <col min="8412" max="8412" width="12.28515625" style="113" bestFit="1" customWidth="1"/>
    <col min="8413" max="8413" width="90.5703125" style="113" customWidth="1"/>
    <col min="8414" max="8667" width="1.7109375" style="113"/>
    <col min="8668" max="8668" width="12.28515625" style="113" bestFit="1" customWidth="1"/>
    <col min="8669" max="8669" width="90.5703125" style="113" customWidth="1"/>
    <col min="8670" max="8923" width="1.7109375" style="113"/>
    <col min="8924" max="8924" width="12.28515625" style="113" bestFit="1" customWidth="1"/>
    <col min="8925" max="8925" width="90.5703125" style="113" customWidth="1"/>
    <col min="8926" max="9179" width="1.7109375" style="113"/>
    <col min="9180" max="9180" width="12.28515625" style="113" bestFit="1" customWidth="1"/>
    <col min="9181" max="9181" width="90.5703125" style="113" customWidth="1"/>
    <col min="9182" max="9435" width="1.7109375" style="113"/>
    <col min="9436" max="9436" width="12.28515625" style="113" bestFit="1" customWidth="1"/>
    <col min="9437" max="9437" width="90.5703125" style="113" customWidth="1"/>
    <col min="9438" max="9691" width="1.7109375" style="113"/>
    <col min="9692" max="9692" width="12.28515625" style="113" bestFit="1" customWidth="1"/>
    <col min="9693" max="9693" width="90.5703125" style="113" customWidth="1"/>
    <col min="9694" max="9947" width="1.7109375" style="113"/>
    <col min="9948" max="9948" width="12.28515625" style="113" bestFit="1" customWidth="1"/>
    <col min="9949" max="9949" width="90.5703125" style="113" customWidth="1"/>
    <col min="9950" max="10203" width="1.7109375" style="113"/>
    <col min="10204" max="10204" width="12.28515625" style="113" bestFit="1" customWidth="1"/>
    <col min="10205" max="10205" width="90.5703125" style="113" customWidth="1"/>
    <col min="10206" max="10459" width="1.7109375" style="113"/>
    <col min="10460" max="10460" width="12.28515625" style="113" bestFit="1" customWidth="1"/>
    <col min="10461" max="10461" width="90.5703125" style="113" customWidth="1"/>
    <col min="10462" max="10715" width="1.7109375" style="113"/>
    <col min="10716" max="10716" width="12.28515625" style="113" bestFit="1" customWidth="1"/>
    <col min="10717" max="10717" width="90.5703125" style="113" customWidth="1"/>
    <col min="10718" max="10971" width="1.7109375" style="113"/>
    <col min="10972" max="10972" width="12.28515625" style="113" bestFit="1" customWidth="1"/>
    <col min="10973" max="10973" width="90.5703125" style="113" customWidth="1"/>
    <col min="10974" max="11227" width="1.7109375" style="113"/>
    <col min="11228" max="11228" width="12.28515625" style="113" bestFit="1" customWidth="1"/>
    <col min="11229" max="11229" width="90.5703125" style="113" customWidth="1"/>
    <col min="11230" max="11483" width="1.7109375" style="113"/>
    <col min="11484" max="11484" width="12.28515625" style="113" bestFit="1" customWidth="1"/>
    <col min="11485" max="11485" width="90.5703125" style="113" customWidth="1"/>
    <col min="11486" max="11739" width="1.7109375" style="113"/>
    <col min="11740" max="11740" width="12.28515625" style="113" bestFit="1" customWidth="1"/>
    <col min="11741" max="11741" width="90.5703125" style="113" customWidth="1"/>
    <col min="11742" max="11995" width="1.7109375" style="113"/>
    <col min="11996" max="11996" width="12.28515625" style="113" bestFit="1" customWidth="1"/>
    <col min="11997" max="11997" width="90.5703125" style="113" customWidth="1"/>
    <col min="11998" max="12251" width="1.7109375" style="113"/>
    <col min="12252" max="12252" width="12.28515625" style="113" bestFit="1" customWidth="1"/>
    <col min="12253" max="12253" width="90.5703125" style="113" customWidth="1"/>
    <col min="12254" max="12507" width="1.7109375" style="113"/>
    <col min="12508" max="12508" width="12.28515625" style="113" bestFit="1" customWidth="1"/>
    <col min="12509" max="12509" width="90.5703125" style="113" customWidth="1"/>
    <col min="12510" max="12763" width="1.7109375" style="113"/>
    <col min="12764" max="12764" width="12.28515625" style="113" bestFit="1" customWidth="1"/>
    <col min="12765" max="12765" width="90.5703125" style="113" customWidth="1"/>
    <col min="12766" max="13019" width="1.7109375" style="113"/>
    <col min="13020" max="13020" width="12.28515625" style="113" bestFit="1" customWidth="1"/>
    <col min="13021" max="13021" width="90.5703125" style="113" customWidth="1"/>
    <col min="13022" max="13275" width="1.7109375" style="113"/>
    <col min="13276" max="13276" width="12.28515625" style="113" bestFit="1" customWidth="1"/>
    <col min="13277" max="13277" width="90.5703125" style="113" customWidth="1"/>
    <col min="13278" max="13531" width="1.7109375" style="113"/>
    <col min="13532" max="13532" width="12.28515625" style="113" bestFit="1" customWidth="1"/>
    <col min="13533" max="13533" width="90.5703125" style="113" customWidth="1"/>
    <col min="13534" max="13787" width="1.7109375" style="113"/>
    <col min="13788" max="13788" width="12.28515625" style="113" bestFit="1" customWidth="1"/>
    <col min="13789" max="13789" width="90.5703125" style="113" customWidth="1"/>
    <col min="13790" max="14043" width="1.7109375" style="113"/>
    <col min="14044" max="14044" width="12.28515625" style="113" bestFit="1" customWidth="1"/>
    <col min="14045" max="14045" width="90.5703125" style="113" customWidth="1"/>
    <col min="14046" max="14299" width="1.7109375" style="113"/>
    <col min="14300" max="14300" width="12.28515625" style="113" bestFit="1" customWidth="1"/>
    <col min="14301" max="14301" width="90.5703125" style="113" customWidth="1"/>
    <col min="14302" max="14555" width="1.7109375" style="113"/>
    <col min="14556" max="14556" width="12.28515625" style="113" bestFit="1" customWidth="1"/>
    <col min="14557" max="14557" width="90.5703125" style="113" customWidth="1"/>
    <col min="14558" max="14811" width="1.7109375" style="113"/>
    <col min="14812" max="14812" width="12.28515625" style="113" bestFit="1" customWidth="1"/>
    <col min="14813" max="14813" width="90.5703125" style="113" customWidth="1"/>
    <col min="14814" max="15067" width="1.7109375" style="113"/>
    <col min="15068" max="15068" width="12.28515625" style="113" bestFit="1" customWidth="1"/>
    <col min="15069" max="15069" width="90.5703125" style="113" customWidth="1"/>
    <col min="15070" max="15323" width="1.7109375" style="113"/>
    <col min="15324" max="15324" width="12.28515625" style="113" bestFit="1" customWidth="1"/>
    <col min="15325" max="15325" width="90.5703125" style="113" customWidth="1"/>
    <col min="15326" max="15579" width="1.7109375" style="113"/>
    <col min="15580" max="15580" width="12.28515625" style="113" bestFit="1" customWidth="1"/>
    <col min="15581" max="15581" width="90.5703125" style="113" customWidth="1"/>
    <col min="15582" max="15835" width="1.7109375" style="113"/>
    <col min="15836" max="15836" width="12.28515625" style="113" bestFit="1" customWidth="1"/>
    <col min="15837" max="15837" width="90.5703125" style="113" customWidth="1"/>
    <col min="15838" max="16091" width="1.7109375" style="113"/>
    <col min="16092" max="16092" width="12.28515625" style="113" bestFit="1" customWidth="1"/>
    <col min="16093" max="16093" width="90.5703125" style="113" customWidth="1"/>
    <col min="16094" max="16384" width="1.7109375" style="113"/>
  </cols>
  <sheetData>
    <row r="1" spans="1:2" ht="28.5" x14ac:dyDescent="0.25">
      <c r="A1" s="117" t="s">
        <v>907</v>
      </c>
      <c r="B1" s="118" t="s">
        <v>908</v>
      </c>
    </row>
    <row r="2" spans="1:2" x14ac:dyDescent="0.25">
      <c r="A2" s="119">
        <v>2</v>
      </c>
      <c r="B2" s="119" t="s">
        <v>909</v>
      </c>
    </row>
    <row r="3" spans="1:2" x14ac:dyDescent="0.25">
      <c r="A3" s="119">
        <v>3</v>
      </c>
      <c r="B3" s="119" t="s">
        <v>910</v>
      </c>
    </row>
    <row r="4" spans="1:2" x14ac:dyDescent="0.25">
      <c r="A4" s="119">
        <v>4</v>
      </c>
      <c r="B4" s="119" t="s">
        <v>911</v>
      </c>
    </row>
    <row r="5" spans="1:2" x14ac:dyDescent="0.25">
      <c r="A5" s="119">
        <v>5</v>
      </c>
      <c r="B5" s="119" t="s">
        <v>912</v>
      </c>
    </row>
    <row r="6" spans="1:2" x14ac:dyDescent="0.25">
      <c r="A6" s="119">
        <v>7</v>
      </c>
      <c r="B6" s="119" t="s">
        <v>913</v>
      </c>
    </row>
    <row r="7" spans="1:2" x14ac:dyDescent="0.25">
      <c r="A7" s="119">
        <v>10</v>
      </c>
      <c r="B7" s="119" t="s">
        <v>914</v>
      </c>
    </row>
    <row r="8" spans="1:2" x14ac:dyDescent="0.25">
      <c r="A8" s="119">
        <v>11</v>
      </c>
      <c r="B8" s="119" t="s">
        <v>915</v>
      </c>
    </row>
    <row r="9" spans="1:2" x14ac:dyDescent="0.25">
      <c r="A9" s="119">
        <v>12</v>
      </c>
      <c r="B9" s="119" t="s">
        <v>916</v>
      </c>
    </row>
    <row r="10" spans="1:2" x14ac:dyDescent="0.25">
      <c r="A10" s="119">
        <v>13</v>
      </c>
      <c r="B10" s="119" t="s">
        <v>917</v>
      </c>
    </row>
    <row r="11" spans="1:2" x14ac:dyDescent="0.25">
      <c r="A11" s="119">
        <v>14</v>
      </c>
      <c r="B11" s="119" t="s">
        <v>918</v>
      </c>
    </row>
    <row r="12" spans="1:2" x14ac:dyDescent="0.25">
      <c r="A12" s="119">
        <v>15</v>
      </c>
      <c r="B12" s="119" t="s">
        <v>919</v>
      </c>
    </row>
    <row r="13" spans="1:2" x14ac:dyDescent="0.25">
      <c r="A13" s="119">
        <v>16</v>
      </c>
      <c r="B13" s="119" t="s">
        <v>920</v>
      </c>
    </row>
    <row r="14" spans="1:2" x14ac:dyDescent="0.25">
      <c r="A14" s="119">
        <v>17</v>
      </c>
      <c r="B14" s="119" t="s">
        <v>921</v>
      </c>
    </row>
    <row r="15" spans="1:2" x14ac:dyDescent="0.25">
      <c r="A15" s="119" t="s">
        <v>188</v>
      </c>
      <c r="B15" s="119" t="s">
        <v>922</v>
      </c>
    </row>
    <row r="16" spans="1:2" x14ac:dyDescent="0.25">
      <c r="A16" s="119">
        <v>19</v>
      </c>
      <c r="B16" s="119" t="s">
        <v>923</v>
      </c>
    </row>
    <row r="17" spans="1:2" x14ac:dyDescent="0.25">
      <c r="A17" s="119">
        <v>20</v>
      </c>
      <c r="B17" s="119" t="s">
        <v>924</v>
      </c>
    </row>
    <row r="18" spans="1:2" x14ac:dyDescent="0.25">
      <c r="A18" s="119">
        <v>30</v>
      </c>
      <c r="B18" s="119" t="s">
        <v>925</v>
      </c>
    </row>
    <row r="19" spans="1:2" x14ac:dyDescent="0.25">
      <c r="A19" s="119">
        <v>40</v>
      </c>
      <c r="B19" s="119" t="s">
        <v>926</v>
      </c>
    </row>
    <row r="20" spans="1:2" x14ac:dyDescent="0.25">
      <c r="A20" s="119">
        <v>44</v>
      </c>
      <c r="B20" s="119" t="s">
        <v>927</v>
      </c>
    </row>
    <row r="21" spans="1:2" x14ac:dyDescent="0.25">
      <c r="A21" s="119">
        <v>45</v>
      </c>
      <c r="B21" s="119" t="s">
        <v>928</v>
      </c>
    </row>
    <row r="22" spans="1:2" x14ac:dyDescent="0.25">
      <c r="A22" s="119">
        <v>46</v>
      </c>
      <c r="B22" s="119" t="s">
        <v>929</v>
      </c>
    </row>
    <row r="23" spans="1:2" x14ac:dyDescent="0.25">
      <c r="A23" s="119">
        <v>50</v>
      </c>
      <c r="B23" s="119" t="s">
        <v>930</v>
      </c>
    </row>
    <row r="24" spans="1:2" x14ac:dyDescent="0.25">
      <c r="A24" s="119">
        <v>60</v>
      </c>
      <c r="B24" s="119" t="s">
        <v>931</v>
      </c>
    </row>
    <row r="25" spans="1:2" x14ac:dyDescent="0.25">
      <c r="A25" s="119">
        <v>70</v>
      </c>
      <c r="B25" s="119" t="s">
        <v>932</v>
      </c>
    </row>
    <row r="26" spans="1:2" x14ac:dyDescent="0.25">
      <c r="A26" s="119">
        <v>80</v>
      </c>
      <c r="B26" s="119" t="s">
        <v>933</v>
      </c>
    </row>
    <row r="27" spans="1:2" x14ac:dyDescent="0.25">
      <c r="A27" s="119">
        <v>81</v>
      </c>
      <c r="B27" s="119" t="s">
        <v>934</v>
      </c>
    </row>
    <row r="28" spans="1:2" x14ac:dyDescent="0.25">
      <c r="A28" s="119">
        <v>90</v>
      </c>
      <c r="B28" s="119" t="s">
        <v>935</v>
      </c>
    </row>
    <row r="29" spans="1:2" x14ac:dyDescent="0.25">
      <c r="A29" s="119">
        <v>91</v>
      </c>
      <c r="B29" s="119" t="s">
        <v>936</v>
      </c>
    </row>
    <row r="30" spans="1:2" x14ac:dyDescent="0.25">
      <c r="A30" s="119">
        <v>92</v>
      </c>
      <c r="B30" s="119" t="s">
        <v>937</v>
      </c>
    </row>
    <row r="31" spans="1:2" x14ac:dyDescent="0.25">
      <c r="A31" s="119">
        <v>95</v>
      </c>
      <c r="B31" s="119" t="s">
        <v>938</v>
      </c>
    </row>
    <row r="32" spans="1:2" x14ac:dyDescent="0.25">
      <c r="A32" s="119">
        <v>96</v>
      </c>
      <c r="B32" s="119" t="s">
        <v>939</v>
      </c>
    </row>
    <row r="33" spans="1:2" x14ac:dyDescent="0.25">
      <c r="A33" s="119">
        <v>97</v>
      </c>
      <c r="B33" s="119" t="s">
        <v>940</v>
      </c>
    </row>
    <row r="34" spans="1:2" x14ac:dyDescent="0.25">
      <c r="A34" s="119">
        <v>98</v>
      </c>
      <c r="B34" s="119" t="s">
        <v>941</v>
      </c>
    </row>
    <row r="35" spans="1:2" x14ac:dyDescent="0.25">
      <c r="A35" s="119">
        <v>99</v>
      </c>
      <c r="B35" s="119" t="s">
        <v>942</v>
      </c>
    </row>
    <row r="36" spans="1:2" x14ac:dyDescent="0.25">
      <c r="A36" s="119">
        <v>100</v>
      </c>
      <c r="B36" s="119" t="s">
        <v>943</v>
      </c>
    </row>
    <row r="37" spans="1:2" x14ac:dyDescent="0.25">
      <c r="A37" s="119">
        <v>101</v>
      </c>
      <c r="B37" s="119" t="s">
        <v>944</v>
      </c>
    </row>
    <row r="38" spans="1:2" x14ac:dyDescent="0.25">
      <c r="A38" s="119">
        <v>102</v>
      </c>
      <c r="B38" s="119" t="s">
        <v>945</v>
      </c>
    </row>
    <row r="39" spans="1:2" x14ac:dyDescent="0.25">
      <c r="A39" s="119">
        <v>103</v>
      </c>
      <c r="B39" s="119" t="s">
        <v>946</v>
      </c>
    </row>
    <row r="40" spans="1:2" x14ac:dyDescent="0.25">
      <c r="A40" s="119">
        <v>104</v>
      </c>
      <c r="B40" s="119" t="s">
        <v>947</v>
      </c>
    </row>
    <row r="41" spans="1:2" x14ac:dyDescent="0.25">
      <c r="A41" s="119">
        <v>105</v>
      </c>
      <c r="B41" s="119" t="s">
        <v>948</v>
      </c>
    </row>
    <row r="42" spans="1:2" x14ac:dyDescent="0.25">
      <c r="A42" s="119">
        <v>106</v>
      </c>
      <c r="B42" s="119" t="s">
        <v>949</v>
      </c>
    </row>
    <row r="43" spans="1:2" x14ac:dyDescent="0.25">
      <c r="A43" s="119">
        <v>107</v>
      </c>
      <c r="B43" s="119" t="s">
        <v>950</v>
      </c>
    </row>
    <row r="44" spans="1:2" x14ac:dyDescent="0.25">
      <c r="A44" s="119">
        <v>108</v>
      </c>
      <c r="B44" s="119" t="s">
        <v>951</v>
      </c>
    </row>
    <row r="45" spans="1:2" x14ac:dyDescent="0.25">
      <c r="A45" s="119">
        <v>109</v>
      </c>
      <c r="B45" s="119" t="s">
        <v>952</v>
      </c>
    </row>
    <row r="46" spans="1:2" x14ac:dyDescent="0.25">
      <c r="A46" s="119">
        <v>110</v>
      </c>
      <c r="B46" s="119" t="s">
        <v>953</v>
      </c>
    </row>
    <row r="47" spans="1:2" x14ac:dyDescent="0.25">
      <c r="A47" s="119">
        <v>120</v>
      </c>
      <c r="B47" s="119" t="s">
        <v>954</v>
      </c>
    </row>
    <row r="48" spans="1:2" x14ac:dyDescent="0.25">
      <c r="A48" s="119">
        <v>130</v>
      </c>
      <c r="B48" s="119" t="s">
        <v>955</v>
      </c>
    </row>
    <row r="49" spans="1:2" x14ac:dyDescent="0.25">
      <c r="A49" s="119">
        <v>151</v>
      </c>
      <c r="B49" s="119" t="s">
        <v>956</v>
      </c>
    </row>
    <row r="50" spans="1:2" x14ac:dyDescent="0.25">
      <c r="A50" s="119">
        <v>152</v>
      </c>
      <c r="B50" s="119" t="s">
        <v>957</v>
      </c>
    </row>
    <row r="51" spans="1:2" x14ac:dyDescent="0.25">
      <c r="A51" s="119">
        <v>153</v>
      </c>
      <c r="B51" s="119" t="s">
        <v>958</v>
      </c>
    </row>
    <row r="52" spans="1:2" x14ac:dyDescent="0.25">
      <c r="A52" s="119">
        <v>154</v>
      </c>
      <c r="B52" s="119" t="s">
        <v>959</v>
      </c>
    </row>
    <row r="53" spans="1:2" x14ac:dyDescent="0.25">
      <c r="A53" s="119">
        <v>155</v>
      </c>
      <c r="B53" s="119" t="s">
        <v>960</v>
      </c>
    </row>
    <row r="54" spans="1:2" x14ac:dyDescent="0.25">
      <c r="A54" s="119">
        <v>156</v>
      </c>
      <c r="B54" s="119" t="s">
        <v>961</v>
      </c>
    </row>
    <row r="55" spans="1:2" x14ac:dyDescent="0.25">
      <c r="A55" s="119">
        <v>157</v>
      </c>
      <c r="B55" s="119" t="s">
        <v>962</v>
      </c>
    </row>
    <row r="56" spans="1:2" x14ac:dyDescent="0.25">
      <c r="A56" s="119">
        <v>158</v>
      </c>
      <c r="B56" s="119" t="s">
        <v>963</v>
      </c>
    </row>
    <row r="57" spans="1:2" x14ac:dyDescent="0.25">
      <c r="A57" s="119">
        <v>159</v>
      </c>
      <c r="B57" s="119" t="s">
        <v>964</v>
      </c>
    </row>
    <row r="58" spans="1:2" x14ac:dyDescent="0.25">
      <c r="A58" s="119">
        <v>160</v>
      </c>
      <c r="B58" s="119" t="s">
        <v>965</v>
      </c>
    </row>
    <row r="59" spans="1:2" x14ac:dyDescent="0.25">
      <c r="A59" s="119">
        <v>161</v>
      </c>
      <c r="B59" s="119" t="s">
        <v>966</v>
      </c>
    </row>
    <row r="60" spans="1:2" x14ac:dyDescent="0.25">
      <c r="A60" s="119">
        <v>170</v>
      </c>
      <c r="B60" s="119" t="s">
        <v>967</v>
      </c>
    </row>
    <row r="61" spans="1:2" x14ac:dyDescent="0.25">
      <c r="A61" s="119">
        <v>172</v>
      </c>
      <c r="B61" s="119" t="s">
        <v>968</v>
      </c>
    </row>
    <row r="62" spans="1:2" x14ac:dyDescent="0.25">
      <c r="A62" s="119">
        <v>173</v>
      </c>
      <c r="B62" s="119" t="s">
        <v>969</v>
      </c>
    </row>
    <row r="63" spans="1:2" x14ac:dyDescent="0.25">
      <c r="A63" s="119">
        <v>174</v>
      </c>
      <c r="B63" s="119" t="s">
        <v>970</v>
      </c>
    </row>
    <row r="64" spans="1:2" x14ac:dyDescent="0.25">
      <c r="A64" s="119">
        <v>199</v>
      </c>
      <c r="B64" s="119" t="s">
        <v>971</v>
      </c>
    </row>
    <row r="65" spans="1:2" x14ac:dyDescent="0.25">
      <c r="A65" s="119">
        <v>259</v>
      </c>
      <c r="B65" s="119" t="s">
        <v>972</v>
      </c>
    </row>
    <row r="66" spans="1:2" x14ac:dyDescent="0.25">
      <c r="A66" s="119">
        <v>300</v>
      </c>
      <c r="B66" s="119" t="s">
        <v>973</v>
      </c>
    </row>
    <row r="67" spans="1:2" x14ac:dyDescent="0.25">
      <c r="A67" s="119">
        <v>400</v>
      </c>
      <c r="B67" s="119" t="s">
        <v>974</v>
      </c>
    </row>
    <row r="68" spans="1:2" x14ac:dyDescent="0.25">
      <c r="A68" s="119">
        <v>410</v>
      </c>
      <c r="B68" s="119" t="s">
        <v>975</v>
      </c>
    </row>
    <row r="69" spans="1:2" x14ac:dyDescent="0.25">
      <c r="A69" s="119">
        <v>430</v>
      </c>
      <c r="B69" s="119" t="s">
        <v>976</v>
      </c>
    </row>
    <row r="70" spans="1:2" x14ac:dyDescent="0.25">
      <c r="A70" s="119">
        <v>431</v>
      </c>
      <c r="B70" s="119" t="s">
        <v>977</v>
      </c>
    </row>
    <row r="71" spans="1:2" x14ac:dyDescent="0.25">
      <c r="A71" s="119">
        <v>432</v>
      </c>
      <c r="B71" s="119" t="s">
        <v>978</v>
      </c>
    </row>
    <row r="72" spans="1:2" x14ac:dyDescent="0.25">
      <c r="A72" s="119">
        <v>433</v>
      </c>
      <c r="B72" s="119" t="s">
        <v>979</v>
      </c>
    </row>
    <row r="73" spans="1:2" x14ac:dyDescent="0.25">
      <c r="A73" s="119">
        <v>434</v>
      </c>
      <c r="B73" s="119" t="s">
        <v>980</v>
      </c>
    </row>
    <row r="74" spans="1:2" x14ac:dyDescent="0.25">
      <c r="A74" s="119">
        <v>444</v>
      </c>
      <c r="B74" s="119" t="s">
        <v>981</v>
      </c>
    </row>
    <row r="75" spans="1:2" x14ac:dyDescent="0.25">
      <c r="A75" s="119">
        <v>470</v>
      </c>
      <c r="B75" s="119" t="s">
        <v>982</v>
      </c>
    </row>
    <row r="76" spans="1:2" x14ac:dyDescent="0.25">
      <c r="A76" s="119">
        <v>471</v>
      </c>
      <c r="B76" s="119" t="s">
        <v>983</v>
      </c>
    </row>
    <row r="77" spans="1:2" x14ac:dyDescent="0.25">
      <c r="A77" s="119">
        <v>472</v>
      </c>
      <c r="B77" s="119" t="s">
        <v>984</v>
      </c>
    </row>
    <row r="78" spans="1:2" x14ac:dyDescent="0.25">
      <c r="A78" s="119">
        <v>473</v>
      </c>
      <c r="B78" s="119" t="s">
        <v>985</v>
      </c>
    </row>
    <row r="79" spans="1:2" x14ac:dyDescent="0.25">
      <c r="A79" s="119">
        <v>474</v>
      </c>
      <c r="B79" s="119" t="s">
        <v>986</v>
      </c>
    </row>
    <row r="80" spans="1:2" x14ac:dyDescent="0.25">
      <c r="A80" s="119">
        <v>475</v>
      </c>
      <c r="B80" s="119" t="s">
        <v>987</v>
      </c>
    </row>
    <row r="81" spans="1:2" x14ac:dyDescent="0.25">
      <c r="A81" s="119">
        <v>476</v>
      </c>
      <c r="B81" s="119" t="s">
        <v>988</v>
      </c>
    </row>
    <row r="82" spans="1:2" x14ac:dyDescent="0.25">
      <c r="A82" s="119">
        <v>477</v>
      </c>
      <c r="B82" s="119" t="s">
        <v>989</v>
      </c>
    </row>
    <row r="83" spans="1:2" x14ac:dyDescent="0.25">
      <c r="A83" s="119">
        <v>478</v>
      </c>
      <c r="B83" s="119" t="s">
        <v>990</v>
      </c>
    </row>
    <row r="84" spans="1:2" x14ac:dyDescent="0.25">
      <c r="A84" s="119">
        <v>479</v>
      </c>
      <c r="B84" s="119" t="s">
        <v>991</v>
      </c>
    </row>
    <row r="85" spans="1:2" x14ac:dyDescent="0.25">
      <c r="A85" s="119">
        <v>480</v>
      </c>
      <c r="B85" s="119" t="s">
        <v>992</v>
      </c>
    </row>
    <row r="86" spans="1:2" x14ac:dyDescent="0.25">
      <c r="A86" s="119">
        <v>499</v>
      </c>
      <c r="B86" s="119" t="s">
        <v>993</v>
      </c>
    </row>
    <row r="87" spans="1:2" x14ac:dyDescent="0.25">
      <c r="A87" s="119">
        <v>500</v>
      </c>
      <c r="B87" s="119" t="s">
        <v>994</v>
      </c>
    </row>
    <row r="88" spans="1:2" x14ac:dyDescent="0.25">
      <c r="A88" s="119">
        <v>501</v>
      </c>
      <c r="B88" s="119" t="s">
        <v>995</v>
      </c>
    </row>
    <row r="89" spans="1:2" x14ac:dyDescent="0.25">
      <c r="A89" s="119">
        <v>502</v>
      </c>
      <c r="B89" s="119" t="s">
        <v>996</v>
      </c>
    </row>
    <row r="90" spans="1:2" x14ac:dyDescent="0.25">
      <c r="A90" s="119">
        <v>503</v>
      </c>
      <c r="B90" s="119" t="s">
        <v>997</v>
      </c>
    </row>
    <row r="91" spans="1:2" x14ac:dyDescent="0.25">
      <c r="A91" s="119">
        <v>601</v>
      </c>
      <c r="B91" s="119" t="s">
        <v>998</v>
      </c>
    </row>
    <row r="92" spans="1:2" x14ac:dyDescent="0.25">
      <c r="A92" s="119">
        <v>602</v>
      </c>
      <c r="B92" s="119" t="s">
        <v>999</v>
      </c>
    </row>
    <row r="93" spans="1:2" x14ac:dyDescent="0.25">
      <c r="A93" s="119">
        <v>603</v>
      </c>
      <c r="B93" s="119" t="s">
        <v>1000</v>
      </c>
    </row>
    <row r="94" spans="1:2" x14ac:dyDescent="0.25">
      <c r="A94" s="119">
        <v>604</v>
      </c>
      <c r="B94" s="119" t="s">
        <v>1001</v>
      </c>
    </row>
    <row r="95" spans="1:2" x14ac:dyDescent="0.25">
      <c r="A95" s="119">
        <v>605</v>
      </c>
      <c r="B95" s="119" t="s">
        <v>1002</v>
      </c>
    </row>
    <row r="96" spans="1:2" x14ac:dyDescent="0.25">
      <c r="A96" s="119">
        <v>606</v>
      </c>
      <c r="B96" s="119" t="s">
        <v>1003</v>
      </c>
    </row>
    <row r="97" spans="1:2" x14ac:dyDescent="0.25">
      <c r="A97" s="119">
        <v>607</v>
      </c>
      <c r="B97" s="119" t="s">
        <v>1004</v>
      </c>
    </row>
    <row r="98" spans="1:2" x14ac:dyDescent="0.25">
      <c r="A98" s="119">
        <v>608</v>
      </c>
      <c r="B98" s="119" t="s">
        <v>1005</v>
      </c>
    </row>
    <row r="99" spans="1:2" x14ac:dyDescent="0.25">
      <c r="A99" s="119">
        <v>700</v>
      </c>
      <c r="B99" s="119" t="s">
        <v>1006</v>
      </c>
    </row>
    <row r="100" spans="1:2" x14ac:dyDescent="0.25">
      <c r="A100" s="119">
        <v>701</v>
      </c>
      <c r="B100" s="119" t="s">
        <v>1007</v>
      </c>
    </row>
    <row r="101" spans="1:2" x14ac:dyDescent="0.25">
      <c r="A101" s="119">
        <v>702</v>
      </c>
      <c r="B101" s="119" t="s">
        <v>1008</v>
      </c>
    </row>
    <row r="102" spans="1:2" x14ac:dyDescent="0.25">
      <c r="A102" s="119">
        <v>704</v>
      </c>
      <c r="B102" s="119" t="s">
        <v>1009</v>
      </c>
    </row>
    <row r="103" spans="1:2" x14ac:dyDescent="0.25">
      <c r="A103" s="119">
        <v>705</v>
      </c>
      <c r="B103" s="119" t="s">
        <v>1010</v>
      </c>
    </row>
    <row r="104" spans="1:2" x14ac:dyDescent="0.25">
      <c r="A104" s="119">
        <v>706</v>
      </c>
      <c r="B104" s="119" t="s">
        <v>1011</v>
      </c>
    </row>
    <row r="105" spans="1:2" x14ac:dyDescent="0.25">
      <c r="A105" s="119">
        <v>707</v>
      </c>
      <c r="B105" s="119" t="s">
        <v>1012</v>
      </c>
    </row>
    <row r="106" spans="1:2" x14ac:dyDescent="0.25">
      <c r="A106" s="119">
        <v>708</v>
      </c>
      <c r="B106" s="119" t="s">
        <v>1013</v>
      </c>
    </row>
    <row r="107" spans="1:2" x14ac:dyDescent="0.25">
      <c r="A107" s="119">
        <v>709</v>
      </c>
      <c r="B107" s="119" t="s">
        <v>1014</v>
      </c>
    </row>
    <row r="108" spans="1:2" x14ac:dyDescent="0.25">
      <c r="A108" s="119">
        <v>710</v>
      </c>
      <c r="B108" s="119" t="s">
        <v>1015</v>
      </c>
    </row>
    <row r="109" spans="1:2" x14ac:dyDescent="0.25">
      <c r="A109" s="119">
        <v>711</v>
      </c>
      <c r="B109" s="119" t="s">
        <v>1016</v>
      </c>
    </row>
    <row r="110" spans="1:2" x14ac:dyDescent="0.25">
      <c r="A110" s="119">
        <v>712</v>
      </c>
      <c r="B110" s="119" t="s">
        <v>1017</v>
      </c>
    </row>
    <row r="111" spans="1:2" x14ac:dyDescent="0.25">
      <c r="A111" s="119">
        <v>713</v>
      </c>
      <c r="B111" s="119" t="s">
        <v>1018</v>
      </c>
    </row>
    <row r="112" spans="1:2" x14ac:dyDescent="0.25">
      <c r="A112" s="119">
        <v>714</v>
      </c>
      <c r="B112" s="119" t="s">
        <v>1019</v>
      </c>
    </row>
    <row r="113" spans="1:2" x14ac:dyDescent="0.25">
      <c r="A113" s="119">
        <v>715</v>
      </c>
      <c r="B113" s="119" t="s">
        <v>1020</v>
      </c>
    </row>
    <row r="114" spans="1:2" x14ac:dyDescent="0.25">
      <c r="A114" s="119">
        <v>716</v>
      </c>
      <c r="B114" s="119" t="s">
        <v>1021</v>
      </c>
    </row>
    <row r="115" spans="1:2" x14ac:dyDescent="0.25">
      <c r="A115" s="119">
        <v>717</v>
      </c>
      <c r="B115" s="119" t="s">
        <v>1022</v>
      </c>
    </row>
    <row r="116" spans="1:2" x14ac:dyDescent="0.25">
      <c r="A116" s="119">
        <v>718</v>
      </c>
      <c r="B116" s="119" t="s">
        <v>1023</v>
      </c>
    </row>
    <row r="117" spans="1:2" x14ac:dyDescent="0.25">
      <c r="A117" s="119">
        <v>719</v>
      </c>
      <c r="B117" s="119" t="s">
        <v>1024</v>
      </c>
    </row>
    <row r="118" spans="1:2" x14ac:dyDescent="0.25">
      <c r="A118" s="119">
        <v>720</v>
      </c>
      <c r="B118" s="119" t="s">
        <v>1025</v>
      </c>
    </row>
    <row r="119" spans="1:2" x14ac:dyDescent="0.25">
      <c r="A119" s="119">
        <v>721</v>
      </c>
      <c r="B119" s="119" t="s">
        <v>1026</v>
      </c>
    </row>
    <row r="120" spans="1:2" x14ac:dyDescent="0.25">
      <c r="A120" s="119">
        <v>722</v>
      </c>
      <c r="B120" s="119" t="s">
        <v>1027</v>
      </c>
    </row>
    <row r="121" spans="1:2" x14ac:dyDescent="0.25">
      <c r="A121" s="119">
        <v>723</v>
      </c>
      <c r="B121" s="119" t="s">
        <v>1028</v>
      </c>
    </row>
    <row r="122" spans="1:2" x14ac:dyDescent="0.25">
      <c r="A122" s="119">
        <v>724</v>
      </c>
      <c r="B122" s="119" t="s">
        <v>1029</v>
      </c>
    </row>
    <row r="123" spans="1:2" x14ac:dyDescent="0.25">
      <c r="A123" s="119">
        <v>725</v>
      </c>
      <c r="B123" s="119" t="s">
        <v>1030</v>
      </c>
    </row>
    <row r="124" spans="1:2" x14ac:dyDescent="0.25">
      <c r="A124" s="119">
        <v>726</v>
      </c>
      <c r="B124" s="119" t="s">
        <v>1031</v>
      </c>
    </row>
    <row r="125" spans="1:2" x14ac:dyDescent="0.25">
      <c r="A125" s="119">
        <v>727</v>
      </c>
      <c r="B125" s="119" t="s">
        <v>1032</v>
      </c>
    </row>
    <row r="126" spans="1:2" x14ac:dyDescent="0.25">
      <c r="A126" s="119">
        <v>728</v>
      </c>
      <c r="B126" s="119" t="s">
        <v>1033</v>
      </c>
    </row>
    <row r="127" spans="1:2" x14ac:dyDescent="0.25">
      <c r="A127" s="119">
        <v>729</v>
      </c>
      <c r="B127" s="119" t="s">
        <v>1034</v>
      </c>
    </row>
    <row r="128" spans="1:2" x14ac:dyDescent="0.25">
      <c r="A128" s="119">
        <v>730</v>
      </c>
      <c r="B128" s="119" t="s">
        <v>1035</v>
      </c>
    </row>
    <row r="129" spans="1:2" x14ac:dyDescent="0.25">
      <c r="A129" s="119">
        <v>731</v>
      </c>
      <c r="B129" s="119" t="s">
        <v>1036</v>
      </c>
    </row>
    <row r="130" spans="1:2" x14ac:dyDescent="0.25">
      <c r="A130" s="119">
        <v>732</v>
      </c>
      <c r="B130" s="119" t="s">
        <v>1037</v>
      </c>
    </row>
    <row r="131" spans="1:2" x14ac:dyDescent="0.25">
      <c r="A131" s="119">
        <v>733</v>
      </c>
      <c r="B131" s="119" t="s">
        <v>1038</v>
      </c>
    </row>
    <row r="132" spans="1:2" x14ac:dyDescent="0.25">
      <c r="A132" s="119">
        <v>734</v>
      </c>
      <c r="B132" s="119" t="s">
        <v>1039</v>
      </c>
    </row>
    <row r="133" spans="1:2" x14ac:dyDescent="0.25">
      <c r="A133" s="119">
        <v>800</v>
      </c>
      <c r="B133" s="119" t="s">
        <v>1040</v>
      </c>
    </row>
    <row r="134" spans="1:2" x14ac:dyDescent="0.25">
      <c r="A134" s="119">
        <v>801</v>
      </c>
      <c r="B134" s="119" t="s">
        <v>1041</v>
      </c>
    </row>
    <row r="135" spans="1:2" x14ac:dyDescent="0.25">
      <c r="A135" s="119">
        <v>802</v>
      </c>
      <c r="B135" s="119" t="s">
        <v>1042</v>
      </c>
    </row>
    <row r="136" spans="1:2" x14ac:dyDescent="0.25">
      <c r="A136" s="119">
        <v>803</v>
      </c>
      <c r="B136" s="119" t="s">
        <v>1043</v>
      </c>
    </row>
    <row r="137" spans="1:2" x14ac:dyDescent="0.25">
      <c r="A137" s="119">
        <v>804</v>
      </c>
      <c r="B137" s="119" t="s">
        <v>1044</v>
      </c>
    </row>
    <row r="138" spans="1:2" x14ac:dyDescent="0.25">
      <c r="A138" s="119">
        <v>805</v>
      </c>
      <c r="B138" s="119" t="s">
        <v>1045</v>
      </c>
    </row>
    <row r="139" spans="1:2" x14ac:dyDescent="0.25">
      <c r="A139" s="119">
        <v>902</v>
      </c>
      <c r="B139" s="119" t="s">
        <v>1046</v>
      </c>
    </row>
    <row r="140" spans="1:2" x14ac:dyDescent="0.25">
      <c r="A140" s="119">
        <v>911</v>
      </c>
      <c r="B140" s="119" t="s">
        <v>1047</v>
      </c>
    </row>
    <row r="141" spans="1:2" x14ac:dyDescent="0.25">
      <c r="A141" s="119">
        <v>950</v>
      </c>
      <c r="B141" s="119" t="s">
        <v>1048</v>
      </c>
    </row>
    <row r="142" spans="1:2" x14ac:dyDescent="0.25">
      <c r="A142" s="119">
        <v>999</v>
      </c>
      <c r="B142" s="119" t="s">
        <v>1049</v>
      </c>
    </row>
    <row r="143" spans="1:2" x14ac:dyDescent="0.25">
      <c r="A143" s="120">
        <v>2111</v>
      </c>
      <c r="B143" s="120" t="s">
        <v>1050</v>
      </c>
    </row>
    <row r="144" spans="1:2" x14ac:dyDescent="0.25">
      <c r="A144" s="120">
        <v>4001</v>
      </c>
      <c r="B144" s="120" t="s">
        <v>1051</v>
      </c>
    </row>
    <row r="145" spans="1:2" x14ac:dyDescent="0.25">
      <c r="A145" s="120">
        <v>4002</v>
      </c>
      <c r="B145" s="120" t="s">
        <v>1052</v>
      </c>
    </row>
    <row r="146" spans="1:2" x14ac:dyDescent="0.25">
      <c r="A146" s="120">
        <v>4213</v>
      </c>
      <c r="B146" s="120" t="s">
        <v>1053</v>
      </c>
    </row>
    <row r="147" spans="1:2" x14ac:dyDescent="0.25">
      <c r="A147" s="120">
        <v>4218</v>
      </c>
      <c r="B147" s="120" t="s">
        <v>1054</v>
      </c>
    </row>
    <row r="148" spans="1:2" x14ac:dyDescent="0.25">
      <c r="A148" s="120">
        <v>4223</v>
      </c>
      <c r="B148" s="120" t="s">
        <v>1055</v>
      </c>
    </row>
    <row r="149" spans="1:2" x14ac:dyDescent="0.25">
      <c r="A149" s="120">
        <v>4359</v>
      </c>
      <c r="B149" s="120" t="s">
        <v>1056</v>
      </c>
    </row>
    <row r="150" spans="1:2" x14ac:dyDescent="0.25">
      <c r="A150" s="120">
        <v>4428</v>
      </c>
      <c r="B150" s="120" t="s">
        <v>1057</v>
      </c>
    </row>
    <row r="151" spans="1:2" x14ac:dyDescent="0.25">
      <c r="A151" s="120">
        <v>4443</v>
      </c>
      <c r="B151" s="120" t="s">
        <v>1058</v>
      </c>
    </row>
    <row r="152" spans="1:2" x14ac:dyDescent="0.25">
      <c r="A152" s="120">
        <v>6001</v>
      </c>
      <c r="B152" s="120" t="s">
        <v>1059</v>
      </c>
    </row>
    <row r="153" spans="1:2" x14ac:dyDescent="0.25">
      <c r="A153" s="120">
        <v>6002</v>
      </c>
      <c r="B153" s="120" t="s">
        <v>1060</v>
      </c>
    </row>
    <row r="154" spans="1:2" ht="30" x14ac:dyDescent="0.25">
      <c r="A154" s="120">
        <v>6003</v>
      </c>
      <c r="B154" s="120" t="s">
        <v>1061</v>
      </c>
    </row>
    <row r="155" spans="1:2" x14ac:dyDescent="0.25">
      <c r="A155" s="120">
        <v>6499</v>
      </c>
      <c r="B155" s="120" t="s">
        <v>1062</v>
      </c>
    </row>
    <row r="156" spans="1:2" x14ac:dyDescent="0.25">
      <c r="A156" s="120">
        <v>7001</v>
      </c>
      <c r="B156" s="120" t="s">
        <v>1063</v>
      </c>
    </row>
    <row r="157" spans="1:2" x14ac:dyDescent="0.25">
      <c r="A157" s="120">
        <v>7121</v>
      </c>
      <c r="B157" s="120" t="s">
        <v>1064</v>
      </c>
    </row>
    <row r="158" spans="1:2" x14ac:dyDescent="0.25">
      <c r="A158" s="120">
        <v>7131</v>
      </c>
      <c r="B158" s="120" t="s">
        <v>1065</v>
      </c>
    </row>
    <row r="159" spans="1:2" x14ac:dyDescent="0.25">
      <c r="A159" s="120">
        <v>7139</v>
      </c>
      <c r="B159" s="120" t="s">
        <v>1066</v>
      </c>
    </row>
    <row r="160" spans="1:2" x14ac:dyDescent="0.25">
      <c r="A160" s="120">
        <v>7147</v>
      </c>
      <c r="B160" s="120" t="s">
        <v>1067</v>
      </c>
    </row>
    <row r="161" spans="1:2" x14ac:dyDescent="0.25">
      <c r="A161" s="120">
        <v>7266</v>
      </c>
      <c r="B161" s="120" t="s">
        <v>1068</v>
      </c>
    </row>
    <row r="162" spans="1:2" x14ac:dyDescent="0.25">
      <c r="A162" s="120">
        <v>7554</v>
      </c>
      <c r="B162" s="120" t="s">
        <v>1069</v>
      </c>
    </row>
    <row r="163" spans="1:2" x14ac:dyDescent="0.25">
      <c r="A163" s="120">
        <v>7555</v>
      </c>
      <c r="B163" s="120" t="s">
        <v>1070</v>
      </c>
    </row>
    <row r="164" spans="1:2" x14ac:dyDescent="0.25">
      <c r="A164" s="120">
        <v>7716</v>
      </c>
      <c r="B164" s="120" t="s">
        <v>1071</v>
      </c>
    </row>
    <row r="165" spans="1:2" x14ac:dyDescent="0.25">
      <c r="A165" s="120">
        <v>7729</v>
      </c>
      <c r="B165" s="120" t="s">
        <v>1072</v>
      </c>
    </row>
    <row r="166" spans="1:2" x14ac:dyDescent="0.25">
      <c r="A166" s="120">
        <v>7938</v>
      </c>
      <c r="B166" s="120" t="s">
        <v>1073</v>
      </c>
    </row>
    <row r="167" spans="1:2" x14ac:dyDescent="0.25">
      <c r="A167" s="120">
        <v>12001</v>
      </c>
      <c r="B167" s="120" t="s">
        <v>1074</v>
      </c>
    </row>
    <row r="168" spans="1:2" x14ac:dyDescent="0.25">
      <c r="A168" s="120">
        <v>12002</v>
      </c>
      <c r="B168" s="120" t="s">
        <v>1075</v>
      </c>
    </row>
    <row r="169" spans="1:2" x14ac:dyDescent="0.25">
      <c r="A169" s="120">
        <v>12005</v>
      </c>
      <c r="B169" s="120" t="s">
        <v>1076</v>
      </c>
    </row>
    <row r="170" spans="1:2" x14ac:dyDescent="0.25">
      <c r="A170" s="120">
        <v>12011</v>
      </c>
      <c r="B170" s="120" t="s">
        <v>1077</v>
      </c>
    </row>
    <row r="171" spans="1:2" x14ac:dyDescent="0.25">
      <c r="A171" s="120">
        <v>12015</v>
      </c>
      <c r="B171" s="120" t="s">
        <v>1078</v>
      </c>
    </row>
    <row r="172" spans="1:2" x14ac:dyDescent="0.25">
      <c r="A172" s="120">
        <v>12021</v>
      </c>
      <c r="B172" s="120" t="s">
        <v>1079</v>
      </c>
    </row>
    <row r="173" spans="1:2" x14ac:dyDescent="0.25">
      <c r="A173" s="120">
        <v>12025</v>
      </c>
      <c r="B173" s="120" t="s">
        <v>1080</v>
      </c>
    </row>
    <row r="174" spans="1:2" x14ac:dyDescent="0.25">
      <c r="A174" s="120">
        <v>12031</v>
      </c>
      <c r="B174" s="120" t="s">
        <v>1081</v>
      </c>
    </row>
    <row r="175" spans="1:2" x14ac:dyDescent="0.25">
      <c r="A175" s="120">
        <v>12035</v>
      </c>
      <c r="B175" s="120" t="s">
        <v>1082</v>
      </c>
    </row>
    <row r="176" spans="1:2" x14ac:dyDescent="0.25">
      <c r="A176" s="120">
        <v>12041</v>
      </c>
      <c r="B176" s="120" t="s">
        <v>1083</v>
      </c>
    </row>
    <row r="177" spans="1:2" x14ac:dyDescent="0.25">
      <c r="A177" s="120">
        <v>12045</v>
      </c>
      <c r="B177" s="120" t="s">
        <v>1084</v>
      </c>
    </row>
    <row r="178" spans="1:2" x14ac:dyDescent="0.25">
      <c r="A178" s="120">
        <v>12051</v>
      </c>
      <c r="B178" s="120" t="s">
        <v>1085</v>
      </c>
    </row>
    <row r="179" spans="1:2" x14ac:dyDescent="0.25">
      <c r="A179" s="120">
        <v>12055</v>
      </c>
      <c r="B179" s="120" t="s">
        <v>1086</v>
      </c>
    </row>
    <row r="180" spans="1:2" x14ac:dyDescent="0.25">
      <c r="A180" s="120">
        <v>12061</v>
      </c>
      <c r="B180" s="120" t="s">
        <v>1087</v>
      </c>
    </row>
    <row r="181" spans="1:2" x14ac:dyDescent="0.25">
      <c r="A181" s="120">
        <v>12065</v>
      </c>
      <c r="B181" s="120" t="s">
        <v>1088</v>
      </c>
    </row>
    <row r="182" spans="1:2" x14ac:dyDescent="0.25">
      <c r="A182" s="120">
        <v>12071</v>
      </c>
      <c r="B182" s="120" t="s">
        <v>1089</v>
      </c>
    </row>
    <row r="183" spans="1:2" x14ac:dyDescent="0.25">
      <c r="A183" s="120">
        <v>12075</v>
      </c>
      <c r="B183" s="120" t="s">
        <v>1090</v>
      </c>
    </row>
    <row r="184" spans="1:2" ht="30" x14ac:dyDescent="0.25">
      <c r="A184" s="120">
        <v>13001</v>
      </c>
      <c r="B184" s="120" t="s">
        <v>1091</v>
      </c>
    </row>
    <row r="185" spans="1:2" ht="30" x14ac:dyDescent="0.25">
      <c r="A185" s="120">
        <v>13002</v>
      </c>
      <c r="B185" s="120" t="s">
        <v>1092</v>
      </c>
    </row>
    <row r="186" spans="1:2" x14ac:dyDescent="0.25">
      <c r="A186" s="120">
        <v>13003</v>
      </c>
      <c r="B186" s="120" t="s">
        <v>1093</v>
      </c>
    </row>
    <row r="187" spans="1:2" x14ac:dyDescent="0.25">
      <c r="A187" s="120">
        <v>13004</v>
      </c>
      <c r="B187" s="120" t="s">
        <v>1094</v>
      </c>
    </row>
    <row r="188" spans="1:2" x14ac:dyDescent="0.25">
      <c r="A188" s="120">
        <v>13005</v>
      </c>
      <c r="B188" s="120" t="s">
        <v>1095</v>
      </c>
    </row>
    <row r="189" spans="1:2" x14ac:dyDescent="0.25">
      <c r="A189" s="120">
        <v>13006</v>
      </c>
      <c r="B189" s="120" t="s">
        <v>1096</v>
      </c>
    </row>
    <row r="190" spans="1:2" x14ac:dyDescent="0.25">
      <c r="A190" s="120">
        <v>13007</v>
      </c>
      <c r="B190" s="120" t="s">
        <v>1097</v>
      </c>
    </row>
    <row r="191" spans="1:2" ht="30" x14ac:dyDescent="0.25">
      <c r="A191" s="120">
        <v>13008</v>
      </c>
      <c r="B191" s="120" t="s">
        <v>1098</v>
      </c>
    </row>
    <row r="192" spans="1:2" x14ac:dyDescent="0.25">
      <c r="A192" s="120">
        <v>13009</v>
      </c>
      <c r="B192" s="120" t="s">
        <v>1099</v>
      </c>
    </row>
    <row r="193" spans="1:2" x14ac:dyDescent="0.25">
      <c r="A193" s="120">
        <v>13010</v>
      </c>
      <c r="B193" s="120" t="s">
        <v>1100</v>
      </c>
    </row>
    <row r="194" spans="1:2" x14ac:dyDescent="0.25">
      <c r="A194" s="120">
        <v>13011</v>
      </c>
      <c r="B194" s="120" t="s">
        <v>1101</v>
      </c>
    </row>
    <row r="195" spans="1:2" x14ac:dyDescent="0.25">
      <c r="A195" s="120">
        <v>13012</v>
      </c>
      <c r="B195" s="120" t="s">
        <v>1102</v>
      </c>
    </row>
    <row r="196" spans="1:2" x14ac:dyDescent="0.25">
      <c r="A196" s="120">
        <v>13013</v>
      </c>
      <c r="B196" s="120" t="s">
        <v>744</v>
      </c>
    </row>
    <row r="197" spans="1:2" x14ac:dyDescent="0.25">
      <c r="A197" s="120">
        <v>13014</v>
      </c>
      <c r="B197" s="120" t="s">
        <v>1103</v>
      </c>
    </row>
    <row r="198" spans="1:2" x14ac:dyDescent="0.25">
      <c r="A198" s="120">
        <v>13101</v>
      </c>
      <c r="B198" s="120" t="s">
        <v>1104</v>
      </c>
    </row>
    <row r="199" spans="1:2" x14ac:dyDescent="0.25">
      <c r="A199" s="120">
        <v>13118</v>
      </c>
      <c r="B199" s="120" t="s">
        <v>1105</v>
      </c>
    </row>
    <row r="200" spans="1:2" x14ac:dyDescent="0.25">
      <c r="A200" s="120">
        <v>13129</v>
      </c>
      <c r="B200" s="120" t="s">
        <v>1106</v>
      </c>
    </row>
    <row r="201" spans="1:2" x14ac:dyDescent="0.25">
      <c r="A201" s="120">
        <v>13229</v>
      </c>
      <c r="B201" s="120" t="s">
        <v>1107</v>
      </c>
    </row>
    <row r="202" spans="1:2" x14ac:dyDescent="0.25">
      <c r="A202" s="120">
        <v>13230</v>
      </c>
      <c r="B202" s="120" t="s">
        <v>1108</v>
      </c>
    </row>
    <row r="203" spans="1:2" x14ac:dyDescent="0.25">
      <c r="A203" s="120">
        <v>13233</v>
      </c>
      <c r="B203" s="120" t="s">
        <v>1109</v>
      </c>
    </row>
    <row r="204" spans="1:2" x14ac:dyDescent="0.25">
      <c r="A204" s="120">
        <v>13234</v>
      </c>
      <c r="B204" s="120" t="s">
        <v>1110</v>
      </c>
    </row>
    <row r="205" spans="1:2" x14ac:dyDescent="0.25">
      <c r="A205" s="120">
        <v>13235</v>
      </c>
      <c r="B205" s="120" t="s">
        <v>1111</v>
      </c>
    </row>
    <row r="206" spans="1:2" x14ac:dyDescent="0.25">
      <c r="A206" s="120">
        <v>13247</v>
      </c>
      <c r="B206" s="120" t="s">
        <v>1112</v>
      </c>
    </row>
    <row r="207" spans="1:2" x14ac:dyDescent="0.25">
      <c r="A207" s="120">
        <v>13256</v>
      </c>
      <c r="B207" s="120" t="s">
        <v>1113</v>
      </c>
    </row>
    <row r="208" spans="1:2" ht="30" x14ac:dyDescent="0.25">
      <c r="A208" s="120">
        <v>13305</v>
      </c>
      <c r="B208" s="120" t="s">
        <v>1114</v>
      </c>
    </row>
    <row r="209" spans="1:2" ht="45" x14ac:dyDescent="0.25">
      <c r="A209" s="120">
        <v>13306</v>
      </c>
      <c r="B209" s="120" t="s">
        <v>1115</v>
      </c>
    </row>
    <row r="210" spans="1:2" x14ac:dyDescent="0.25">
      <c r="A210" s="120">
        <v>13307</v>
      </c>
      <c r="B210" s="120" t="s">
        <v>1116</v>
      </c>
    </row>
    <row r="211" spans="1:2" x14ac:dyDescent="0.25">
      <c r="A211" s="120">
        <v>13310</v>
      </c>
      <c r="B211" s="120" t="s">
        <v>1117</v>
      </c>
    </row>
    <row r="212" spans="1:2" x14ac:dyDescent="0.25">
      <c r="A212" s="120">
        <v>13344</v>
      </c>
      <c r="B212" s="120" t="s">
        <v>1118</v>
      </c>
    </row>
    <row r="213" spans="1:2" ht="30" x14ac:dyDescent="0.25">
      <c r="A213" s="120">
        <v>13351</v>
      </c>
      <c r="B213" s="120" t="s">
        <v>1119</v>
      </c>
    </row>
    <row r="214" spans="1:2" x14ac:dyDescent="0.25">
      <c r="A214" s="120">
        <v>13404</v>
      </c>
      <c r="B214" s="120" t="s">
        <v>1120</v>
      </c>
    </row>
    <row r="215" spans="1:2" x14ac:dyDescent="0.25">
      <c r="A215" s="120">
        <v>13405</v>
      </c>
      <c r="B215" s="120" t="s">
        <v>1121</v>
      </c>
    </row>
    <row r="216" spans="1:2" x14ac:dyDescent="0.25">
      <c r="A216" s="120">
        <v>13406</v>
      </c>
      <c r="B216" s="120" t="s">
        <v>1122</v>
      </c>
    </row>
    <row r="217" spans="1:2" x14ac:dyDescent="0.25">
      <c r="A217" s="120">
        <v>13407</v>
      </c>
      <c r="B217" s="120" t="s">
        <v>1123</v>
      </c>
    </row>
    <row r="218" spans="1:2" x14ac:dyDescent="0.25">
      <c r="A218" s="120">
        <v>13419</v>
      </c>
      <c r="B218" s="120" t="s">
        <v>1124</v>
      </c>
    </row>
    <row r="219" spans="1:2" x14ac:dyDescent="0.25">
      <c r="A219" s="120">
        <v>13501</v>
      </c>
      <c r="B219" s="120" t="s">
        <v>1125</v>
      </c>
    </row>
    <row r="220" spans="1:2" x14ac:dyDescent="0.25">
      <c r="A220" s="120">
        <v>13899</v>
      </c>
      <c r="B220" s="120" t="s">
        <v>1126</v>
      </c>
    </row>
    <row r="221" spans="1:2" x14ac:dyDescent="0.25">
      <c r="A221" s="120">
        <v>13900</v>
      </c>
      <c r="B221" s="120" t="s">
        <v>1127</v>
      </c>
    </row>
    <row r="222" spans="1:2" x14ac:dyDescent="0.25">
      <c r="A222" s="120">
        <v>14001</v>
      </c>
      <c r="B222" s="120" t="s">
        <v>1128</v>
      </c>
    </row>
    <row r="223" spans="1:2" x14ac:dyDescent="0.25">
      <c r="A223" s="120">
        <v>14002</v>
      </c>
      <c r="B223" s="120" t="s">
        <v>1129</v>
      </c>
    </row>
    <row r="224" spans="1:2" x14ac:dyDescent="0.25">
      <c r="A224" s="120">
        <v>14003</v>
      </c>
      <c r="B224" s="120" t="s">
        <v>1130</v>
      </c>
    </row>
    <row r="225" spans="1:2" x14ac:dyDescent="0.25">
      <c r="A225" s="120">
        <v>14004</v>
      </c>
      <c r="B225" s="120" t="s">
        <v>1131</v>
      </c>
    </row>
    <row r="226" spans="1:2" x14ac:dyDescent="0.25">
      <c r="A226" s="120">
        <v>14005</v>
      </c>
      <c r="B226" s="120" t="s">
        <v>1132</v>
      </c>
    </row>
    <row r="227" spans="1:2" x14ac:dyDescent="0.25">
      <c r="A227" s="120">
        <v>14006</v>
      </c>
      <c r="B227" s="120" t="s">
        <v>1133</v>
      </c>
    </row>
    <row r="228" spans="1:2" x14ac:dyDescent="0.25">
      <c r="A228" s="120">
        <v>14007</v>
      </c>
      <c r="B228" s="120" t="s">
        <v>1134</v>
      </c>
    </row>
    <row r="229" spans="1:2" x14ac:dyDescent="0.25">
      <c r="A229" s="120">
        <v>14008</v>
      </c>
      <c r="B229" s="120" t="s">
        <v>1135</v>
      </c>
    </row>
    <row r="230" spans="1:2" x14ac:dyDescent="0.25">
      <c r="A230" s="120">
        <v>14009</v>
      </c>
      <c r="B230" s="120" t="s">
        <v>1136</v>
      </c>
    </row>
    <row r="231" spans="1:2" ht="30" x14ac:dyDescent="0.25">
      <c r="A231" s="120">
        <v>14010</v>
      </c>
      <c r="B231" s="120" t="s">
        <v>1137</v>
      </c>
    </row>
    <row r="232" spans="1:2" x14ac:dyDescent="0.25">
      <c r="A232" s="120">
        <v>14011</v>
      </c>
      <c r="B232" s="120" t="s">
        <v>1138</v>
      </c>
    </row>
    <row r="233" spans="1:2" x14ac:dyDescent="0.25">
      <c r="A233" s="120">
        <v>14012</v>
      </c>
      <c r="B233" s="120" t="s">
        <v>1139</v>
      </c>
    </row>
    <row r="234" spans="1:2" x14ac:dyDescent="0.25">
      <c r="A234" s="120">
        <v>14013</v>
      </c>
      <c r="B234" s="120" t="s">
        <v>1140</v>
      </c>
    </row>
    <row r="235" spans="1:2" x14ac:dyDescent="0.25">
      <c r="A235" s="120">
        <v>14015</v>
      </c>
      <c r="B235" s="120" t="s">
        <v>1141</v>
      </c>
    </row>
    <row r="236" spans="1:2" x14ac:dyDescent="0.25">
      <c r="A236" s="120">
        <v>14016</v>
      </c>
      <c r="B236" s="120" t="s">
        <v>1142</v>
      </c>
    </row>
    <row r="237" spans="1:2" ht="30" x14ac:dyDescent="0.25">
      <c r="A237" s="120">
        <v>14017</v>
      </c>
      <c r="B237" s="120" t="s">
        <v>1143</v>
      </c>
    </row>
    <row r="238" spans="1:2" x14ac:dyDescent="0.25">
      <c r="A238" s="120">
        <v>14018</v>
      </c>
      <c r="B238" s="120" t="s">
        <v>1144</v>
      </c>
    </row>
    <row r="239" spans="1:2" x14ac:dyDescent="0.25">
      <c r="A239" s="120">
        <v>14019</v>
      </c>
      <c r="B239" s="120" t="s">
        <v>657</v>
      </c>
    </row>
    <row r="240" spans="1:2" x14ac:dyDescent="0.25">
      <c r="A240" s="120">
        <v>14020</v>
      </c>
      <c r="B240" s="120" t="s">
        <v>1145</v>
      </c>
    </row>
    <row r="241" spans="1:2" x14ac:dyDescent="0.25">
      <c r="A241" s="120">
        <v>14021</v>
      </c>
      <c r="B241" s="120" t="s">
        <v>1146</v>
      </c>
    </row>
    <row r="242" spans="1:2" x14ac:dyDescent="0.25">
      <c r="A242" s="120">
        <v>14022</v>
      </c>
      <c r="B242" s="120" t="s">
        <v>1147</v>
      </c>
    </row>
    <row r="243" spans="1:2" x14ac:dyDescent="0.25">
      <c r="A243" s="120">
        <v>14023</v>
      </c>
      <c r="B243" s="120" t="s">
        <v>1148</v>
      </c>
    </row>
    <row r="244" spans="1:2" x14ac:dyDescent="0.25">
      <c r="A244" s="120">
        <v>14024</v>
      </c>
      <c r="B244" s="120" t="s">
        <v>1149</v>
      </c>
    </row>
    <row r="245" spans="1:2" x14ac:dyDescent="0.25">
      <c r="A245" s="120">
        <v>14032</v>
      </c>
      <c r="B245" s="120" t="s">
        <v>1150</v>
      </c>
    </row>
    <row r="246" spans="1:2" x14ac:dyDescent="0.25">
      <c r="A246" s="120">
        <v>14137</v>
      </c>
      <c r="B246" s="120" t="s">
        <v>1151</v>
      </c>
    </row>
    <row r="247" spans="1:2" x14ac:dyDescent="0.25">
      <c r="A247" s="120">
        <v>14298</v>
      </c>
      <c r="B247" s="120" t="s">
        <v>1152</v>
      </c>
    </row>
    <row r="248" spans="1:2" ht="30" x14ac:dyDescent="0.25">
      <c r="A248" s="120">
        <v>14299</v>
      </c>
      <c r="B248" s="120" t="s">
        <v>1153</v>
      </c>
    </row>
    <row r="249" spans="1:2" x14ac:dyDescent="0.25">
      <c r="A249" s="120">
        <v>14336</v>
      </c>
      <c r="B249" s="120" t="s">
        <v>1154</v>
      </c>
    </row>
    <row r="250" spans="1:2" x14ac:dyDescent="0.25">
      <c r="A250" s="120">
        <v>14350</v>
      </c>
      <c r="B250" s="120" t="s">
        <v>1155</v>
      </c>
    </row>
    <row r="251" spans="1:2" x14ac:dyDescent="0.25">
      <c r="A251" s="120">
        <v>14493</v>
      </c>
      <c r="B251" s="120" t="s">
        <v>1156</v>
      </c>
    </row>
    <row r="252" spans="1:2" x14ac:dyDescent="0.25">
      <c r="A252" s="120">
        <v>14494</v>
      </c>
      <c r="B252" s="120" t="s">
        <v>1157</v>
      </c>
    </row>
    <row r="253" spans="1:2" x14ac:dyDescent="0.25">
      <c r="A253" s="120">
        <v>14580</v>
      </c>
      <c r="B253" s="120" t="s">
        <v>1158</v>
      </c>
    </row>
    <row r="254" spans="1:2" x14ac:dyDescent="0.25">
      <c r="A254" s="120">
        <v>14626</v>
      </c>
      <c r="B254" s="120" t="s">
        <v>1159</v>
      </c>
    </row>
    <row r="255" spans="1:2" x14ac:dyDescent="0.25">
      <c r="A255" s="120">
        <v>14669</v>
      </c>
      <c r="B255" s="120" t="s">
        <v>1160</v>
      </c>
    </row>
    <row r="256" spans="1:2" x14ac:dyDescent="0.25">
      <c r="A256" s="120">
        <v>14670</v>
      </c>
      <c r="B256" s="120" t="s">
        <v>1161</v>
      </c>
    </row>
    <row r="257" spans="1:2" ht="30" x14ac:dyDescent="0.25">
      <c r="A257" s="120">
        <v>14671</v>
      </c>
      <c r="B257" s="120" t="s">
        <v>1162</v>
      </c>
    </row>
    <row r="258" spans="1:2" x14ac:dyDescent="0.25">
      <c r="A258" s="120">
        <v>14715</v>
      </c>
      <c r="B258" s="120" t="s">
        <v>1163</v>
      </c>
    </row>
    <row r="259" spans="1:2" x14ac:dyDescent="0.25">
      <c r="A259" s="120">
        <v>14742</v>
      </c>
      <c r="B259" s="120" t="s">
        <v>1164</v>
      </c>
    </row>
    <row r="260" spans="1:2" x14ac:dyDescent="0.25">
      <c r="A260" s="120">
        <v>14813</v>
      </c>
      <c r="B260" s="120" t="s">
        <v>1165</v>
      </c>
    </row>
    <row r="261" spans="1:2" x14ac:dyDescent="0.25">
      <c r="A261" s="120">
        <v>14814</v>
      </c>
      <c r="B261" s="120" t="s">
        <v>1166</v>
      </c>
    </row>
    <row r="262" spans="1:2" x14ac:dyDescent="0.25">
      <c r="A262" s="120">
        <v>14867</v>
      </c>
      <c r="B262" s="120" t="s">
        <v>1167</v>
      </c>
    </row>
    <row r="263" spans="1:2" x14ac:dyDescent="0.25">
      <c r="A263" s="120">
        <v>14868</v>
      </c>
      <c r="B263" s="120" t="s">
        <v>1168</v>
      </c>
    </row>
    <row r="264" spans="1:2" x14ac:dyDescent="0.25">
      <c r="A264" s="120">
        <v>14876</v>
      </c>
      <c r="B264" s="120" t="s">
        <v>1169</v>
      </c>
    </row>
    <row r="265" spans="1:2" x14ac:dyDescent="0.25">
      <c r="A265" s="120">
        <v>14903</v>
      </c>
      <c r="B265" s="120" t="s">
        <v>1170</v>
      </c>
    </row>
    <row r="266" spans="1:2" ht="30" x14ac:dyDescent="0.25">
      <c r="A266" s="120">
        <v>14907</v>
      </c>
      <c r="B266" s="120" t="s">
        <v>1171</v>
      </c>
    </row>
    <row r="267" spans="1:2" x14ac:dyDescent="0.25">
      <c r="A267" s="120">
        <v>14922</v>
      </c>
      <c r="B267" s="120" t="s">
        <v>1172</v>
      </c>
    </row>
    <row r="268" spans="1:2" x14ac:dyDescent="0.25">
      <c r="A268" s="120">
        <v>14924</v>
      </c>
      <c r="B268" s="120" t="s">
        <v>1173</v>
      </c>
    </row>
    <row r="269" spans="1:2" x14ac:dyDescent="0.25">
      <c r="A269" s="120">
        <v>14931</v>
      </c>
      <c r="B269" s="120" t="s">
        <v>1174</v>
      </c>
    </row>
    <row r="270" spans="1:2" ht="30" x14ac:dyDescent="0.25">
      <c r="A270" s="120">
        <v>14932</v>
      </c>
      <c r="B270" s="120" t="s">
        <v>1175</v>
      </c>
    </row>
    <row r="271" spans="1:2" ht="30" x14ac:dyDescent="0.25">
      <c r="A271" s="120">
        <v>14942</v>
      </c>
      <c r="B271" s="120" t="s">
        <v>1176</v>
      </c>
    </row>
    <row r="272" spans="1:2" x14ac:dyDescent="0.25">
      <c r="A272" s="120">
        <v>14943</v>
      </c>
      <c r="B272" s="120" t="s">
        <v>1177</v>
      </c>
    </row>
    <row r="273" spans="1:2" x14ac:dyDescent="0.25">
      <c r="A273" s="120">
        <v>14944</v>
      </c>
      <c r="B273" s="120" t="s">
        <v>1178</v>
      </c>
    </row>
    <row r="274" spans="1:2" x14ac:dyDescent="0.25">
      <c r="A274" s="120">
        <v>15001</v>
      </c>
      <c r="B274" s="120" t="s">
        <v>1179</v>
      </c>
    </row>
    <row r="275" spans="1:2" x14ac:dyDescent="0.25">
      <c r="A275" s="120">
        <v>15002</v>
      </c>
      <c r="B275" s="120" t="s">
        <v>1180</v>
      </c>
    </row>
    <row r="276" spans="1:2" x14ac:dyDescent="0.25">
      <c r="A276" s="120">
        <v>15003</v>
      </c>
      <c r="B276" s="120" t="s">
        <v>1181</v>
      </c>
    </row>
    <row r="277" spans="1:2" x14ac:dyDescent="0.25">
      <c r="A277" s="120">
        <v>15004</v>
      </c>
      <c r="B277" s="120" t="s">
        <v>1182</v>
      </c>
    </row>
    <row r="278" spans="1:2" x14ac:dyDescent="0.25">
      <c r="A278" s="120">
        <v>15005</v>
      </c>
      <c r="B278" s="120" t="s">
        <v>1183</v>
      </c>
    </row>
    <row r="279" spans="1:2" x14ac:dyDescent="0.25">
      <c r="A279" s="120">
        <v>15006</v>
      </c>
      <c r="B279" s="120" t="s">
        <v>1184</v>
      </c>
    </row>
    <row r="280" spans="1:2" x14ac:dyDescent="0.25">
      <c r="A280" s="120">
        <v>15007</v>
      </c>
      <c r="B280" s="120" t="s">
        <v>1185</v>
      </c>
    </row>
    <row r="281" spans="1:2" x14ac:dyDescent="0.25">
      <c r="A281" s="120">
        <v>15008</v>
      </c>
      <c r="B281" s="120" t="s">
        <v>1186</v>
      </c>
    </row>
    <row r="282" spans="1:2" x14ac:dyDescent="0.25">
      <c r="A282" s="120">
        <v>15009</v>
      </c>
      <c r="B282" s="120" t="s">
        <v>1187</v>
      </c>
    </row>
    <row r="283" spans="1:2" x14ac:dyDescent="0.25">
      <c r="A283" s="120">
        <v>15065</v>
      </c>
      <c r="B283" s="120" t="s">
        <v>1188</v>
      </c>
    </row>
    <row r="284" spans="1:2" x14ac:dyDescent="0.25">
      <c r="A284" s="120">
        <v>15091</v>
      </c>
      <c r="B284" s="120" t="s">
        <v>1189</v>
      </c>
    </row>
    <row r="285" spans="1:2" x14ac:dyDescent="0.25">
      <c r="A285" s="120">
        <v>15092</v>
      </c>
      <c r="B285" s="120" t="s">
        <v>1190</v>
      </c>
    </row>
    <row r="286" spans="1:2" x14ac:dyDescent="0.25">
      <c r="A286" s="120">
        <v>15093</v>
      </c>
      <c r="B286" s="120" t="s">
        <v>1191</v>
      </c>
    </row>
    <row r="287" spans="1:2" x14ac:dyDescent="0.25">
      <c r="A287" s="120">
        <v>15249</v>
      </c>
      <c r="B287" s="120" t="s">
        <v>1192</v>
      </c>
    </row>
    <row r="288" spans="1:2" ht="30" x14ac:dyDescent="0.25">
      <c r="A288" s="120">
        <v>15267</v>
      </c>
      <c r="B288" s="120" t="s">
        <v>1193</v>
      </c>
    </row>
    <row r="289" spans="1:2" ht="30" x14ac:dyDescent="0.25">
      <c r="A289" s="120">
        <v>15268</v>
      </c>
      <c r="B289" s="120" t="s">
        <v>1194</v>
      </c>
    </row>
    <row r="290" spans="1:2" x14ac:dyDescent="0.25">
      <c r="A290" s="120">
        <v>15269</v>
      </c>
      <c r="B290" s="120" t="s">
        <v>1195</v>
      </c>
    </row>
    <row r="291" spans="1:2" x14ac:dyDescent="0.25">
      <c r="A291" s="120">
        <v>15270</v>
      </c>
      <c r="B291" s="120" t="s">
        <v>1196</v>
      </c>
    </row>
    <row r="292" spans="1:2" x14ac:dyDescent="0.25">
      <c r="A292" s="120">
        <v>15291</v>
      </c>
      <c r="B292" s="120" t="s">
        <v>1197</v>
      </c>
    </row>
    <row r="293" spans="1:2" x14ac:dyDescent="0.25">
      <c r="A293" s="120">
        <v>15308</v>
      </c>
      <c r="B293" s="120" t="s">
        <v>1198</v>
      </c>
    </row>
    <row r="294" spans="1:2" x14ac:dyDescent="0.25">
      <c r="A294" s="120">
        <v>15309</v>
      </c>
      <c r="B294" s="120" t="s">
        <v>1199</v>
      </c>
    </row>
    <row r="295" spans="1:2" x14ac:dyDescent="0.25">
      <c r="A295" s="120">
        <v>15316</v>
      </c>
      <c r="B295" s="120" t="s">
        <v>1200</v>
      </c>
    </row>
    <row r="296" spans="1:2" x14ac:dyDescent="0.25">
      <c r="A296" s="120">
        <v>15319</v>
      </c>
      <c r="B296" s="120" t="s">
        <v>1201</v>
      </c>
    </row>
    <row r="297" spans="1:2" ht="30" x14ac:dyDescent="0.25">
      <c r="A297" s="120">
        <v>15320</v>
      </c>
      <c r="B297" s="120" t="s">
        <v>1202</v>
      </c>
    </row>
    <row r="298" spans="1:2" ht="30" x14ac:dyDescent="0.25">
      <c r="A298" s="120">
        <v>15321</v>
      </c>
      <c r="B298" s="120" t="s">
        <v>1203</v>
      </c>
    </row>
    <row r="299" spans="1:2" x14ac:dyDescent="0.25">
      <c r="A299" s="120">
        <v>15322</v>
      </c>
      <c r="B299" s="120" t="s">
        <v>1204</v>
      </c>
    </row>
    <row r="300" spans="1:2" x14ac:dyDescent="0.25">
      <c r="A300" s="120">
        <v>15323</v>
      </c>
      <c r="B300" s="120" t="s">
        <v>1205</v>
      </c>
    </row>
    <row r="301" spans="1:2" x14ac:dyDescent="0.25">
      <c r="A301" s="120">
        <v>15324</v>
      </c>
      <c r="B301" s="120" t="s">
        <v>1206</v>
      </c>
    </row>
    <row r="302" spans="1:2" x14ac:dyDescent="0.25">
      <c r="A302" s="120">
        <v>15325</v>
      </c>
      <c r="B302" s="120" t="s">
        <v>1207</v>
      </c>
    </row>
    <row r="303" spans="1:2" x14ac:dyDescent="0.25">
      <c r="A303" s="120">
        <v>15329</v>
      </c>
      <c r="B303" s="120" t="s">
        <v>1208</v>
      </c>
    </row>
    <row r="304" spans="1:2" x14ac:dyDescent="0.25">
      <c r="A304" s="120">
        <v>15340</v>
      </c>
      <c r="B304" s="120" t="s">
        <v>1209</v>
      </c>
    </row>
    <row r="305" spans="1:2" x14ac:dyDescent="0.25">
      <c r="A305" s="120">
        <v>15345</v>
      </c>
      <c r="B305" s="120" t="s">
        <v>1210</v>
      </c>
    </row>
    <row r="306" spans="1:2" x14ac:dyDescent="0.25">
      <c r="A306" s="120">
        <v>15370</v>
      </c>
      <c r="B306" s="120" t="s">
        <v>1211</v>
      </c>
    </row>
    <row r="307" spans="1:2" x14ac:dyDescent="0.25">
      <c r="A307" s="120">
        <v>15371</v>
      </c>
      <c r="B307" s="120" t="s">
        <v>1212</v>
      </c>
    </row>
    <row r="308" spans="1:2" x14ac:dyDescent="0.25">
      <c r="A308" s="120">
        <v>15372</v>
      </c>
      <c r="B308" s="120" t="s">
        <v>1213</v>
      </c>
    </row>
    <row r="309" spans="1:2" ht="30" x14ac:dyDescent="0.25">
      <c r="A309" s="120">
        <v>15373</v>
      </c>
      <c r="B309" s="120" t="s">
        <v>1214</v>
      </c>
    </row>
    <row r="310" spans="1:2" ht="30" x14ac:dyDescent="0.25">
      <c r="A310" s="120">
        <v>15374</v>
      </c>
      <c r="B310" s="120" t="s">
        <v>1215</v>
      </c>
    </row>
    <row r="311" spans="1:2" x14ac:dyDescent="0.25">
      <c r="A311" s="120">
        <v>15434</v>
      </c>
      <c r="B311" s="120" t="s">
        <v>1216</v>
      </c>
    </row>
    <row r="312" spans="1:2" x14ac:dyDescent="0.25">
      <c r="A312" s="120">
        <v>15469</v>
      </c>
      <c r="B312" s="120" t="s">
        <v>1217</v>
      </c>
    </row>
    <row r="313" spans="1:2" x14ac:dyDescent="0.25">
      <c r="A313" s="120">
        <v>15470</v>
      </c>
      <c r="B313" s="120" t="s">
        <v>1218</v>
      </c>
    </row>
    <row r="314" spans="1:2" x14ac:dyDescent="0.25">
      <c r="A314" s="120">
        <v>15471</v>
      </c>
      <c r="B314" s="120" t="s">
        <v>1219</v>
      </c>
    </row>
    <row r="315" spans="1:2" x14ac:dyDescent="0.25">
      <c r="A315" s="120">
        <v>15472</v>
      </c>
      <c r="B315" s="120" t="s">
        <v>1220</v>
      </c>
    </row>
    <row r="316" spans="1:2" ht="30" x14ac:dyDescent="0.25">
      <c r="A316" s="120">
        <v>15473</v>
      </c>
      <c r="B316" s="120" t="s">
        <v>1221</v>
      </c>
    </row>
    <row r="317" spans="1:2" ht="30" x14ac:dyDescent="0.25">
      <c r="A317" s="120">
        <v>15474</v>
      </c>
      <c r="B317" s="120" t="s">
        <v>1222</v>
      </c>
    </row>
    <row r="318" spans="1:2" x14ac:dyDescent="0.25">
      <c r="A318" s="120">
        <v>15475</v>
      </c>
      <c r="B318" s="120" t="s">
        <v>1223</v>
      </c>
    </row>
    <row r="319" spans="1:2" x14ac:dyDescent="0.25">
      <c r="A319" s="120">
        <v>15476</v>
      </c>
      <c r="B319" s="120" t="s">
        <v>1224</v>
      </c>
    </row>
    <row r="320" spans="1:2" x14ac:dyDescent="0.25">
      <c r="A320" s="120">
        <v>15477</v>
      </c>
      <c r="B320" s="120" t="s">
        <v>1225</v>
      </c>
    </row>
    <row r="321" spans="1:2" x14ac:dyDescent="0.25">
      <c r="A321" s="120">
        <v>15478</v>
      </c>
      <c r="B321" s="120" t="s">
        <v>1226</v>
      </c>
    </row>
    <row r="322" spans="1:2" x14ac:dyDescent="0.25">
      <c r="A322" s="120">
        <v>15479</v>
      </c>
      <c r="B322" s="120" t="s">
        <v>1227</v>
      </c>
    </row>
    <row r="323" spans="1:2" x14ac:dyDescent="0.25">
      <c r="A323" s="120">
        <v>15480</v>
      </c>
      <c r="B323" s="120" t="s">
        <v>1228</v>
      </c>
    </row>
    <row r="324" spans="1:2" x14ac:dyDescent="0.25">
      <c r="A324" s="120">
        <v>15481</v>
      </c>
      <c r="B324" s="120" t="s">
        <v>1229</v>
      </c>
    </row>
    <row r="325" spans="1:2" x14ac:dyDescent="0.25">
      <c r="A325" s="120">
        <v>15482</v>
      </c>
      <c r="B325" s="120" t="s">
        <v>1230</v>
      </c>
    </row>
    <row r="326" spans="1:2" x14ac:dyDescent="0.25">
      <c r="A326" s="120">
        <v>15483</v>
      </c>
      <c r="B326" s="120" t="s">
        <v>1231</v>
      </c>
    </row>
    <row r="327" spans="1:2" x14ac:dyDescent="0.25">
      <c r="A327" s="120">
        <v>15484</v>
      </c>
      <c r="B327" s="120" t="s">
        <v>1232</v>
      </c>
    </row>
    <row r="328" spans="1:2" x14ac:dyDescent="0.25">
      <c r="A328" s="120">
        <v>15485</v>
      </c>
      <c r="B328" s="120" t="s">
        <v>1233</v>
      </c>
    </row>
    <row r="329" spans="1:2" x14ac:dyDescent="0.25">
      <c r="A329" s="120">
        <v>15486</v>
      </c>
      <c r="B329" s="120" t="s">
        <v>1234</v>
      </c>
    </row>
    <row r="330" spans="1:2" x14ac:dyDescent="0.25">
      <c r="A330" s="120">
        <v>15503</v>
      </c>
      <c r="B330" s="120" t="s">
        <v>1235</v>
      </c>
    </row>
    <row r="331" spans="1:2" x14ac:dyDescent="0.25">
      <c r="A331" s="120">
        <v>15504</v>
      </c>
      <c r="B331" s="120" t="s">
        <v>1236</v>
      </c>
    </row>
    <row r="332" spans="1:2" x14ac:dyDescent="0.25">
      <c r="A332" s="120">
        <v>15524</v>
      </c>
      <c r="B332" s="120" t="s">
        <v>1237</v>
      </c>
    </row>
    <row r="333" spans="1:2" x14ac:dyDescent="0.25">
      <c r="A333" s="120">
        <v>15546</v>
      </c>
      <c r="B333" s="120" t="s">
        <v>1238</v>
      </c>
    </row>
    <row r="334" spans="1:2" x14ac:dyDescent="0.25">
      <c r="A334" s="120">
        <v>15640</v>
      </c>
      <c r="B334" s="120" t="s">
        <v>1239</v>
      </c>
    </row>
    <row r="335" spans="1:2" ht="30" x14ac:dyDescent="0.25">
      <c r="A335" s="120">
        <v>15641</v>
      </c>
      <c r="B335" s="120" t="s">
        <v>1240</v>
      </c>
    </row>
    <row r="336" spans="1:2" ht="30" x14ac:dyDescent="0.25">
      <c r="A336" s="120">
        <v>15642</v>
      </c>
      <c r="B336" s="120" t="s">
        <v>1241</v>
      </c>
    </row>
    <row r="337" spans="1:2" x14ac:dyDescent="0.25">
      <c r="A337" s="120">
        <v>15643</v>
      </c>
      <c r="B337" s="120" t="s">
        <v>1242</v>
      </c>
    </row>
    <row r="338" spans="1:2" x14ac:dyDescent="0.25">
      <c r="A338" s="120">
        <v>15644</v>
      </c>
      <c r="B338" s="120" t="s">
        <v>1243</v>
      </c>
    </row>
    <row r="339" spans="1:2" x14ac:dyDescent="0.25">
      <c r="A339" s="120">
        <v>15713</v>
      </c>
      <c r="B339" s="120" t="s">
        <v>1244</v>
      </c>
    </row>
    <row r="340" spans="1:2" x14ac:dyDescent="0.25">
      <c r="A340" s="120">
        <v>15791</v>
      </c>
      <c r="B340" s="120" t="s">
        <v>1245</v>
      </c>
    </row>
    <row r="341" spans="1:2" x14ac:dyDescent="0.25">
      <c r="A341" s="120">
        <v>15792</v>
      </c>
      <c r="B341" s="120" t="s">
        <v>1246</v>
      </c>
    </row>
    <row r="342" spans="1:2" x14ac:dyDescent="0.25">
      <c r="A342" s="120">
        <v>15793</v>
      </c>
      <c r="B342" s="120" t="s">
        <v>1247</v>
      </c>
    </row>
    <row r="343" spans="1:2" x14ac:dyDescent="0.25">
      <c r="A343" s="120">
        <v>15794</v>
      </c>
      <c r="B343" s="120" t="s">
        <v>1248</v>
      </c>
    </row>
    <row r="344" spans="1:2" x14ac:dyDescent="0.25">
      <c r="A344" s="120">
        <v>15795</v>
      </c>
      <c r="B344" s="120" t="s">
        <v>1249</v>
      </c>
    </row>
    <row r="345" spans="1:2" x14ac:dyDescent="0.25">
      <c r="A345" s="120">
        <v>15796</v>
      </c>
      <c r="B345" s="120" t="s">
        <v>1250</v>
      </c>
    </row>
    <row r="346" spans="1:2" x14ac:dyDescent="0.25">
      <c r="A346" s="120">
        <v>15797</v>
      </c>
      <c r="B346" s="120" t="s">
        <v>1251</v>
      </c>
    </row>
    <row r="347" spans="1:2" x14ac:dyDescent="0.25">
      <c r="A347" s="120">
        <v>15798</v>
      </c>
      <c r="B347" s="120" t="s">
        <v>1252</v>
      </c>
    </row>
    <row r="348" spans="1:2" x14ac:dyDescent="0.25">
      <c r="A348" s="120">
        <v>15799</v>
      </c>
      <c r="B348" s="120" t="s">
        <v>1253</v>
      </c>
    </row>
    <row r="349" spans="1:2" x14ac:dyDescent="0.25">
      <c r="A349" s="120">
        <v>15800</v>
      </c>
      <c r="B349" s="120" t="s">
        <v>1254</v>
      </c>
    </row>
    <row r="350" spans="1:2" x14ac:dyDescent="0.25">
      <c r="A350" s="120">
        <v>15801</v>
      </c>
      <c r="B350" s="120" t="s">
        <v>1255</v>
      </c>
    </row>
    <row r="351" spans="1:2" x14ac:dyDescent="0.25">
      <c r="A351" s="120">
        <v>15802</v>
      </c>
      <c r="B351" s="120" t="s">
        <v>1256</v>
      </c>
    </row>
    <row r="352" spans="1:2" x14ac:dyDescent="0.25">
      <c r="A352" s="120">
        <v>15803</v>
      </c>
      <c r="B352" s="120" t="s">
        <v>1257</v>
      </c>
    </row>
    <row r="353" spans="1:2" x14ac:dyDescent="0.25">
      <c r="A353" s="120">
        <v>15804</v>
      </c>
      <c r="B353" s="120" t="s">
        <v>1258</v>
      </c>
    </row>
    <row r="354" spans="1:2" x14ac:dyDescent="0.25">
      <c r="A354" s="120">
        <v>15805</v>
      </c>
      <c r="B354" s="120" t="s">
        <v>1259</v>
      </c>
    </row>
    <row r="355" spans="1:2" x14ac:dyDescent="0.25">
      <c r="A355" s="120">
        <v>15806</v>
      </c>
      <c r="B355" s="120" t="s">
        <v>1260</v>
      </c>
    </row>
    <row r="356" spans="1:2" x14ac:dyDescent="0.25">
      <c r="A356" s="120">
        <v>15807</v>
      </c>
      <c r="B356" s="120" t="s">
        <v>1261</v>
      </c>
    </row>
    <row r="357" spans="1:2" x14ac:dyDescent="0.25">
      <c r="A357" s="120">
        <v>15808</v>
      </c>
      <c r="B357" s="120" t="s">
        <v>1262</v>
      </c>
    </row>
    <row r="358" spans="1:2" x14ac:dyDescent="0.25">
      <c r="A358" s="120">
        <v>15824</v>
      </c>
      <c r="B358" s="120" t="s">
        <v>1263</v>
      </c>
    </row>
    <row r="359" spans="1:2" x14ac:dyDescent="0.25">
      <c r="A359" s="120">
        <v>15825</v>
      </c>
      <c r="B359" s="120" t="s">
        <v>1264</v>
      </c>
    </row>
    <row r="360" spans="1:2" x14ac:dyDescent="0.25">
      <c r="A360" s="120">
        <v>15826</v>
      </c>
      <c r="B360" s="120" t="s">
        <v>1265</v>
      </c>
    </row>
    <row r="361" spans="1:2" x14ac:dyDescent="0.25">
      <c r="A361" s="120">
        <v>15827</v>
      </c>
      <c r="B361" s="120" t="s">
        <v>1266</v>
      </c>
    </row>
    <row r="362" spans="1:2" ht="30" x14ac:dyDescent="0.25">
      <c r="A362" s="120">
        <v>15828</v>
      </c>
      <c r="B362" s="120" t="s">
        <v>1267</v>
      </c>
    </row>
    <row r="363" spans="1:2" ht="30" x14ac:dyDescent="0.25">
      <c r="A363" s="120">
        <v>15829</v>
      </c>
      <c r="B363" s="120" t="s">
        <v>1268</v>
      </c>
    </row>
    <row r="364" spans="1:2" x14ac:dyDescent="0.25">
      <c r="A364" s="120">
        <v>15830</v>
      </c>
      <c r="B364" s="120" t="s">
        <v>1269</v>
      </c>
    </row>
    <row r="365" spans="1:2" x14ac:dyDescent="0.25">
      <c r="A365" s="120">
        <v>15831</v>
      </c>
      <c r="B365" s="120" t="s">
        <v>1270</v>
      </c>
    </row>
    <row r="366" spans="1:2" x14ac:dyDescent="0.25">
      <c r="A366" s="120">
        <v>15832</v>
      </c>
      <c r="B366" s="120" t="s">
        <v>1271</v>
      </c>
    </row>
    <row r="367" spans="1:2" x14ac:dyDescent="0.25">
      <c r="A367" s="120">
        <v>15833</v>
      </c>
      <c r="B367" s="120" t="s">
        <v>1272</v>
      </c>
    </row>
    <row r="368" spans="1:2" x14ac:dyDescent="0.25">
      <c r="A368" s="120">
        <v>15834</v>
      </c>
      <c r="B368" s="120" t="s">
        <v>1273</v>
      </c>
    </row>
    <row r="369" spans="1:2" x14ac:dyDescent="0.25">
      <c r="A369" s="120">
        <v>15835</v>
      </c>
      <c r="B369" s="120" t="s">
        <v>1274</v>
      </c>
    </row>
    <row r="370" spans="1:2" x14ac:dyDescent="0.25">
      <c r="A370" s="120">
        <v>15836</v>
      </c>
      <c r="B370" s="120" t="s">
        <v>1275</v>
      </c>
    </row>
    <row r="371" spans="1:2" x14ac:dyDescent="0.25">
      <c r="A371" s="120">
        <v>15837</v>
      </c>
      <c r="B371" s="120" t="s">
        <v>1276</v>
      </c>
    </row>
    <row r="372" spans="1:2" ht="30" x14ac:dyDescent="0.25">
      <c r="A372" s="120">
        <v>15838</v>
      </c>
      <c r="B372" s="120" t="s">
        <v>1277</v>
      </c>
    </row>
    <row r="373" spans="1:2" ht="30" x14ac:dyDescent="0.25">
      <c r="A373" s="120">
        <v>15839</v>
      </c>
      <c r="B373" s="120" t="s">
        <v>1278</v>
      </c>
    </row>
    <row r="374" spans="1:2" x14ac:dyDescent="0.25">
      <c r="A374" s="120">
        <v>15864</v>
      </c>
      <c r="B374" s="120" t="s">
        <v>1279</v>
      </c>
    </row>
    <row r="375" spans="1:2" x14ac:dyDescent="0.25">
      <c r="A375" s="120">
        <v>15915</v>
      </c>
      <c r="B375" s="120" t="s">
        <v>1280</v>
      </c>
    </row>
    <row r="376" spans="1:2" x14ac:dyDescent="0.25">
      <c r="A376" s="120">
        <v>15916</v>
      </c>
      <c r="B376" s="120" t="s">
        <v>1281</v>
      </c>
    </row>
    <row r="377" spans="1:2" x14ac:dyDescent="0.25">
      <c r="A377" s="120">
        <v>15917</v>
      </c>
      <c r="B377" s="120" t="s">
        <v>1282</v>
      </c>
    </row>
    <row r="378" spans="1:2" x14ac:dyDescent="0.25">
      <c r="A378" s="120">
        <v>15936</v>
      </c>
      <c r="B378" s="120" t="s">
        <v>1283</v>
      </c>
    </row>
    <row r="379" spans="1:2" x14ac:dyDescent="0.25">
      <c r="A379" s="120">
        <v>15945</v>
      </c>
      <c r="B379" s="120" t="s">
        <v>1284</v>
      </c>
    </row>
    <row r="380" spans="1:2" x14ac:dyDescent="0.25">
      <c r="A380" s="120">
        <v>15956</v>
      </c>
      <c r="B380" s="120" t="s">
        <v>1285</v>
      </c>
    </row>
    <row r="381" spans="1:2" x14ac:dyDescent="0.25">
      <c r="A381" s="120">
        <v>17001</v>
      </c>
      <c r="B381" s="120" t="s">
        <v>1286</v>
      </c>
    </row>
    <row r="382" spans="1:2" x14ac:dyDescent="0.25">
      <c r="A382" s="120">
        <v>17002</v>
      </c>
      <c r="B382" s="120" t="s">
        <v>1287</v>
      </c>
    </row>
    <row r="383" spans="1:2" x14ac:dyDescent="0.25">
      <c r="A383" s="120">
        <v>17003</v>
      </c>
      <c r="B383" s="120" t="s">
        <v>1288</v>
      </c>
    </row>
    <row r="384" spans="1:2" x14ac:dyDescent="0.25">
      <c r="A384" s="120">
        <v>17004</v>
      </c>
      <c r="B384" s="120" t="s">
        <v>1209</v>
      </c>
    </row>
    <row r="385" spans="1:2" x14ac:dyDescent="0.25">
      <c r="A385" s="120">
        <v>17005</v>
      </c>
      <c r="B385" s="120" t="s">
        <v>1289</v>
      </c>
    </row>
    <row r="386" spans="1:2" x14ac:dyDescent="0.25">
      <c r="A386" s="120">
        <v>17006</v>
      </c>
      <c r="B386" s="120" t="s">
        <v>1290</v>
      </c>
    </row>
    <row r="387" spans="1:2" x14ac:dyDescent="0.25">
      <c r="A387" s="120">
        <v>17007</v>
      </c>
      <c r="B387" s="120" t="s">
        <v>1291</v>
      </c>
    </row>
    <row r="388" spans="1:2" x14ac:dyDescent="0.25">
      <c r="A388" s="120">
        <v>17008</v>
      </c>
      <c r="B388" s="120" t="s">
        <v>1292</v>
      </c>
    </row>
    <row r="389" spans="1:2" x14ac:dyDescent="0.25">
      <c r="A389" s="120">
        <v>17009</v>
      </c>
      <c r="B389" s="120" t="s">
        <v>1293</v>
      </c>
    </row>
    <row r="390" spans="1:2" x14ac:dyDescent="0.25">
      <c r="A390" s="120">
        <v>17010</v>
      </c>
      <c r="B390" s="120" t="s">
        <v>1294</v>
      </c>
    </row>
    <row r="391" spans="1:2" ht="30" x14ac:dyDescent="0.25">
      <c r="A391" s="120">
        <v>17011</v>
      </c>
      <c r="B391" s="120" t="s">
        <v>1295</v>
      </c>
    </row>
    <row r="392" spans="1:2" x14ac:dyDescent="0.25">
      <c r="A392" s="120">
        <v>17012</v>
      </c>
      <c r="B392" s="120" t="s">
        <v>1296</v>
      </c>
    </row>
    <row r="393" spans="1:2" ht="30" x14ac:dyDescent="0.25">
      <c r="A393" s="120">
        <v>17013</v>
      </c>
      <c r="B393" s="120" t="s">
        <v>1297</v>
      </c>
    </row>
    <row r="394" spans="1:2" ht="15.75" thickBot="1" x14ac:dyDescent="0.3">
      <c r="A394" s="120">
        <v>17014</v>
      </c>
      <c r="B394" s="120" t="s">
        <v>1298</v>
      </c>
    </row>
    <row r="395" spans="1:2" ht="15.75" thickBot="1" x14ac:dyDescent="0.3">
      <c r="A395" s="121">
        <v>17015</v>
      </c>
      <c r="B395" s="121" t="s">
        <v>1299</v>
      </c>
    </row>
    <row r="396" spans="1:2" ht="15.75" thickBot="1" x14ac:dyDescent="0.3">
      <c r="A396" s="121">
        <v>17016</v>
      </c>
      <c r="B396" s="121" t="s">
        <v>1300</v>
      </c>
    </row>
    <row r="397" spans="1:2" ht="15.75" thickBot="1" x14ac:dyDescent="0.3">
      <c r="A397" s="121">
        <v>17017</v>
      </c>
      <c r="B397" s="121" t="s">
        <v>1301</v>
      </c>
    </row>
    <row r="398" spans="1:2" ht="15.75" thickBot="1" x14ac:dyDescent="0.3">
      <c r="A398" s="121">
        <v>17018</v>
      </c>
      <c r="B398" s="121" t="s">
        <v>1302</v>
      </c>
    </row>
    <row r="399" spans="1:2" ht="15.75" thickBot="1" x14ac:dyDescent="0.3">
      <c r="A399" s="121">
        <v>17019</v>
      </c>
      <c r="B399" s="121" t="s">
        <v>1303</v>
      </c>
    </row>
    <row r="400" spans="1:2" x14ac:dyDescent="0.25">
      <c r="A400" s="120">
        <v>17020</v>
      </c>
      <c r="B400" s="120" t="s">
        <v>1304</v>
      </c>
    </row>
    <row r="401" spans="1:2" x14ac:dyDescent="0.25">
      <c r="A401" s="120">
        <v>17021</v>
      </c>
      <c r="B401" s="120" t="s">
        <v>1305</v>
      </c>
    </row>
    <row r="402" spans="1:2" x14ac:dyDescent="0.25">
      <c r="A402" s="120">
        <v>17022</v>
      </c>
      <c r="B402" s="120" t="s">
        <v>1306</v>
      </c>
    </row>
    <row r="403" spans="1:2" x14ac:dyDescent="0.25">
      <c r="A403" s="120">
        <v>17023</v>
      </c>
      <c r="B403" s="120" t="s">
        <v>1307</v>
      </c>
    </row>
    <row r="404" spans="1:2" x14ac:dyDescent="0.25">
      <c r="A404" s="120">
        <v>17024</v>
      </c>
      <c r="B404" s="120" t="s">
        <v>1308</v>
      </c>
    </row>
    <row r="405" spans="1:2" ht="30" x14ac:dyDescent="0.25">
      <c r="A405" s="120">
        <v>17025</v>
      </c>
      <c r="B405" s="120" t="s">
        <v>1309</v>
      </c>
    </row>
    <row r="406" spans="1:2" x14ac:dyDescent="0.25">
      <c r="A406" s="120">
        <v>17026</v>
      </c>
      <c r="B406" s="120" t="s">
        <v>1310</v>
      </c>
    </row>
    <row r="407" spans="1:2" x14ac:dyDescent="0.25">
      <c r="A407" s="120">
        <v>17027</v>
      </c>
      <c r="B407" s="120" t="s">
        <v>1311</v>
      </c>
    </row>
    <row r="408" spans="1:2" x14ac:dyDescent="0.25">
      <c r="A408" s="120">
        <v>17030</v>
      </c>
      <c r="B408" s="120" t="s">
        <v>1312</v>
      </c>
    </row>
    <row r="409" spans="1:2" x14ac:dyDescent="0.25">
      <c r="A409" s="120">
        <v>17032</v>
      </c>
      <c r="B409" s="120" t="s">
        <v>1313</v>
      </c>
    </row>
    <row r="410" spans="1:2" x14ac:dyDescent="0.25">
      <c r="A410" s="120">
        <v>17037</v>
      </c>
      <c r="B410" s="120" t="s">
        <v>1314</v>
      </c>
    </row>
    <row r="411" spans="1:2" x14ac:dyDescent="0.25">
      <c r="A411" s="120">
        <v>17040</v>
      </c>
      <c r="B411" s="120" t="s">
        <v>1315</v>
      </c>
    </row>
    <row r="412" spans="1:2" x14ac:dyDescent="0.25">
      <c r="A412" s="120">
        <v>17044</v>
      </c>
      <c r="B412" s="120" t="s">
        <v>1316</v>
      </c>
    </row>
    <row r="413" spans="1:2" ht="30" x14ac:dyDescent="0.25">
      <c r="A413" s="120">
        <v>17045</v>
      </c>
      <c r="B413" s="120" t="s">
        <v>1317</v>
      </c>
    </row>
    <row r="414" spans="1:2" x14ac:dyDescent="0.25">
      <c r="A414" s="120">
        <v>17046</v>
      </c>
      <c r="B414" s="120" t="s">
        <v>1318</v>
      </c>
    </row>
    <row r="415" spans="1:2" x14ac:dyDescent="0.25">
      <c r="A415" s="120">
        <v>17047</v>
      </c>
      <c r="B415" s="120" t="s">
        <v>1319</v>
      </c>
    </row>
    <row r="416" spans="1:2" x14ac:dyDescent="0.25">
      <c r="A416" s="120">
        <v>17048</v>
      </c>
      <c r="B416" s="120" t="s">
        <v>1320</v>
      </c>
    </row>
    <row r="417" spans="1:2" x14ac:dyDescent="0.25">
      <c r="A417" s="120">
        <v>17049</v>
      </c>
      <c r="B417" s="120" t="s">
        <v>1321</v>
      </c>
    </row>
    <row r="418" spans="1:2" x14ac:dyDescent="0.25">
      <c r="A418" s="120">
        <v>17081</v>
      </c>
      <c r="B418" s="120" t="s">
        <v>1322</v>
      </c>
    </row>
    <row r="419" spans="1:2" x14ac:dyDescent="0.25">
      <c r="A419" s="120">
        <v>17082</v>
      </c>
      <c r="B419" s="120" t="s">
        <v>1323</v>
      </c>
    </row>
    <row r="420" spans="1:2" x14ac:dyDescent="0.25">
      <c r="A420" s="120">
        <v>17083</v>
      </c>
      <c r="B420" s="120" t="s">
        <v>1324</v>
      </c>
    </row>
    <row r="421" spans="1:2" x14ac:dyDescent="0.25">
      <c r="A421" s="120">
        <v>17098</v>
      </c>
      <c r="B421" s="120" t="s">
        <v>1325</v>
      </c>
    </row>
    <row r="422" spans="1:2" x14ac:dyDescent="0.25">
      <c r="A422" s="120">
        <v>17099</v>
      </c>
      <c r="B422" s="120" t="s">
        <v>1326</v>
      </c>
    </row>
    <row r="423" spans="1:2" x14ac:dyDescent="0.25">
      <c r="A423" s="120">
        <v>17117</v>
      </c>
      <c r="B423" s="120" t="s">
        <v>1327</v>
      </c>
    </row>
    <row r="424" spans="1:2" x14ac:dyDescent="0.25">
      <c r="A424" s="120">
        <v>17123</v>
      </c>
      <c r="B424" s="120" t="s">
        <v>1328</v>
      </c>
    </row>
    <row r="425" spans="1:2" x14ac:dyDescent="0.25">
      <c r="A425" s="120">
        <v>17124</v>
      </c>
      <c r="B425" s="120" t="s">
        <v>1329</v>
      </c>
    </row>
    <row r="426" spans="1:2" x14ac:dyDescent="0.25">
      <c r="A426" s="120">
        <v>17125</v>
      </c>
      <c r="B426" s="120" t="s">
        <v>1330</v>
      </c>
    </row>
    <row r="427" spans="1:2" x14ac:dyDescent="0.25">
      <c r="A427" s="120">
        <v>17159</v>
      </c>
      <c r="B427" s="120" t="s">
        <v>1331</v>
      </c>
    </row>
    <row r="428" spans="1:2" x14ac:dyDescent="0.25">
      <c r="A428" s="120">
        <v>17181</v>
      </c>
      <c r="B428" s="120" t="s">
        <v>1332</v>
      </c>
    </row>
    <row r="429" spans="1:2" x14ac:dyDescent="0.25">
      <c r="A429" s="120">
        <v>17182</v>
      </c>
      <c r="B429" s="120" t="s">
        <v>1333</v>
      </c>
    </row>
    <row r="430" spans="1:2" x14ac:dyDescent="0.25">
      <c r="A430" s="120">
        <v>17183</v>
      </c>
      <c r="B430" s="120" t="s">
        <v>1334</v>
      </c>
    </row>
    <row r="431" spans="1:2" x14ac:dyDescent="0.25">
      <c r="A431" s="120">
        <v>17184</v>
      </c>
      <c r="B431" s="120" t="s">
        <v>1335</v>
      </c>
    </row>
    <row r="432" spans="1:2" x14ac:dyDescent="0.25">
      <c r="A432" s="120">
        <v>17191</v>
      </c>
      <c r="B432" s="120" t="s">
        <v>1336</v>
      </c>
    </row>
    <row r="433" spans="1:2" ht="30" x14ac:dyDescent="0.25">
      <c r="A433" s="120">
        <v>17257</v>
      </c>
      <c r="B433" s="120" t="s">
        <v>1337</v>
      </c>
    </row>
    <row r="434" spans="1:2" ht="30" x14ac:dyDescent="0.25">
      <c r="A434" s="120">
        <v>17258</v>
      </c>
      <c r="B434" s="120" t="s">
        <v>1338</v>
      </c>
    </row>
    <row r="435" spans="1:2" ht="30" x14ac:dyDescent="0.25">
      <c r="A435" s="120">
        <v>17259</v>
      </c>
      <c r="B435" s="120" t="s">
        <v>1339</v>
      </c>
    </row>
    <row r="436" spans="1:2" ht="30" x14ac:dyDescent="0.25">
      <c r="A436" s="120">
        <v>17260</v>
      </c>
      <c r="B436" s="120" t="s">
        <v>1340</v>
      </c>
    </row>
    <row r="437" spans="1:2" ht="30" x14ac:dyDescent="0.25">
      <c r="A437" s="120">
        <v>17261</v>
      </c>
      <c r="B437" s="120" t="s">
        <v>1341</v>
      </c>
    </row>
    <row r="438" spans="1:2" ht="30" x14ac:dyDescent="0.25">
      <c r="A438" s="120">
        <v>17262</v>
      </c>
      <c r="B438" s="120" t="s">
        <v>1342</v>
      </c>
    </row>
    <row r="439" spans="1:2" x14ac:dyDescent="0.25">
      <c r="A439" s="120">
        <v>17263</v>
      </c>
      <c r="B439" s="120" t="s">
        <v>1343</v>
      </c>
    </row>
    <row r="440" spans="1:2" x14ac:dyDescent="0.25">
      <c r="A440" s="120">
        <v>17337</v>
      </c>
      <c r="B440" s="120" t="s">
        <v>1344</v>
      </c>
    </row>
    <row r="441" spans="1:2" x14ac:dyDescent="0.25">
      <c r="A441" s="120">
        <v>17343</v>
      </c>
      <c r="B441" s="120" t="s">
        <v>1345</v>
      </c>
    </row>
    <row r="442" spans="1:2" x14ac:dyDescent="0.25">
      <c r="A442" s="120">
        <v>17360</v>
      </c>
      <c r="B442" s="120" t="s">
        <v>1346</v>
      </c>
    </row>
    <row r="443" spans="1:2" x14ac:dyDescent="0.25">
      <c r="A443" s="120">
        <v>17362</v>
      </c>
      <c r="B443" s="120" t="s">
        <v>1347</v>
      </c>
    </row>
    <row r="444" spans="1:2" x14ac:dyDescent="0.25">
      <c r="A444" s="120">
        <v>17363</v>
      </c>
      <c r="B444" s="120" t="s">
        <v>1348</v>
      </c>
    </row>
    <row r="445" spans="1:2" x14ac:dyDescent="0.25">
      <c r="A445" s="120">
        <v>17365</v>
      </c>
      <c r="B445" s="120" t="s">
        <v>1349</v>
      </c>
    </row>
    <row r="446" spans="1:2" x14ac:dyDescent="0.25">
      <c r="A446" s="120">
        <v>17375</v>
      </c>
      <c r="B446" s="120" t="s">
        <v>1350</v>
      </c>
    </row>
    <row r="447" spans="1:2" x14ac:dyDescent="0.25">
      <c r="A447" s="120">
        <v>17377</v>
      </c>
      <c r="B447" s="120" t="s">
        <v>1351</v>
      </c>
    </row>
    <row r="448" spans="1:2" x14ac:dyDescent="0.25">
      <c r="A448" s="120">
        <v>17386</v>
      </c>
      <c r="B448" s="120" t="s">
        <v>1352</v>
      </c>
    </row>
    <row r="449" spans="1:2" x14ac:dyDescent="0.25">
      <c r="A449" s="120">
        <v>17387</v>
      </c>
      <c r="B449" s="120" t="s">
        <v>1353</v>
      </c>
    </row>
    <row r="450" spans="1:2" x14ac:dyDescent="0.25">
      <c r="A450" s="120">
        <v>17391</v>
      </c>
      <c r="B450" s="120" t="s">
        <v>1354</v>
      </c>
    </row>
    <row r="451" spans="1:2" x14ac:dyDescent="0.25">
      <c r="A451" s="120">
        <v>17392</v>
      </c>
      <c r="B451" s="120" t="s">
        <v>1355</v>
      </c>
    </row>
    <row r="452" spans="1:2" x14ac:dyDescent="0.25">
      <c r="A452" s="120">
        <v>17395</v>
      </c>
      <c r="B452" s="120" t="s">
        <v>1356</v>
      </c>
    </row>
    <row r="453" spans="1:2" x14ac:dyDescent="0.25">
      <c r="A453" s="120">
        <v>17397</v>
      </c>
      <c r="B453" s="120" t="s">
        <v>1357</v>
      </c>
    </row>
    <row r="454" spans="1:2" x14ac:dyDescent="0.25">
      <c r="A454" s="120">
        <v>17408</v>
      </c>
      <c r="B454" s="120" t="s">
        <v>1358</v>
      </c>
    </row>
    <row r="455" spans="1:2" ht="30" x14ac:dyDescent="0.25">
      <c r="A455" s="120">
        <v>17409</v>
      </c>
      <c r="B455" s="120" t="s">
        <v>1359</v>
      </c>
    </row>
    <row r="456" spans="1:2" x14ac:dyDescent="0.25">
      <c r="A456" s="120">
        <v>17410</v>
      </c>
      <c r="B456" s="120" t="s">
        <v>1360</v>
      </c>
    </row>
    <row r="457" spans="1:2" x14ac:dyDescent="0.25">
      <c r="A457" s="120">
        <v>17411</v>
      </c>
      <c r="B457" s="120" t="s">
        <v>1361</v>
      </c>
    </row>
    <row r="458" spans="1:2" x14ac:dyDescent="0.25">
      <c r="A458" s="120">
        <v>17412</v>
      </c>
      <c r="B458" s="120" t="s">
        <v>1362</v>
      </c>
    </row>
    <row r="459" spans="1:2" x14ac:dyDescent="0.25">
      <c r="A459" s="120">
        <v>17413</v>
      </c>
      <c r="B459" s="120" t="s">
        <v>1363</v>
      </c>
    </row>
    <row r="460" spans="1:2" x14ac:dyDescent="0.25">
      <c r="A460" s="120">
        <v>17414</v>
      </c>
      <c r="B460" s="120" t="s">
        <v>1364</v>
      </c>
    </row>
    <row r="461" spans="1:2" x14ac:dyDescent="0.25">
      <c r="A461" s="120">
        <v>17420</v>
      </c>
      <c r="B461" s="120" t="s">
        <v>1365</v>
      </c>
    </row>
    <row r="462" spans="1:2" x14ac:dyDescent="0.25">
      <c r="A462" s="120">
        <v>17425</v>
      </c>
      <c r="B462" s="120" t="s">
        <v>1366</v>
      </c>
    </row>
    <row r="463" spans="1:2" x14ac:dyDescent="0.25">
      <c r="A463" s="120">
        <v>17428</v>
      </c>
      <c r="B463" s="120" t="s">
        <v>1367</v>
      </c>
    </row>
    <row r="464" spans="1:2" x14ac:dyDescent="0.25">
      <c r="A464" s="120">
        <v>17451</v>
      </c>
      <c r="B464" s="120" t="s">
        <v>1368</v>
      </c>
    </row>
    <row r="465" spans="1:2" x14ac:dyDescent="0.25">
      <c r="A465" s="120">
        <v>17453</v>
      </c>
      <c r="B465" s="120" t="s">
        <v>1369</v>
      </c>
    </row>
    <row r="466" spans="1:2" x14ac:dyDescent="0.25">
      <c r="A466" s="120">
        <v>17454</v>
      </c>
      <c r="B466" s="120" t="s">
        <v>1370</v>
      </c>
    </row>
    <row r="467" spans="1:2" x14ac:dyDescent="0.25">
      <c r="A467" s="120">
        <v>17455</v>
      </c>
      <c r="B467" s="120" t="s">
        <v>1371</v>
      </c>
    </row>
    <row r="468" spans="1:2" x14ac:dyDescent="0.25">
      <c r="A468" s="120">
        <v>17464</v>
      </c>
      <c r="B468" s="120" t="s">
        <v>1372</v>
      </c>
    </row>
    <row r="469" spans="1:2" ht="30" x14ac:dyDescent="0.25">
      <c r="A469" s="120">
        <v>17465</v>
      </c>
      <c r="B469" s="120" t="s">
        <v>1373</v>
      </c>
    </row>
    <row r="470" spans="1:2" ht="30" x14ac:dyDescent="0.25">
      <c r="A470" s="120">
        <v>17466</v>
      </c>
      <c r="B470" s="120" t="s">
        <v>1374</v>
      </c>
    </row>
    <row r="471" spans="1:2" x14ac:dyDescent="0.25">
      <c r="A471" s="120">
        <v>17489</v>
      </c>
      <c r="B471" s="120" t="s">
        <v>1375</v>
      </c>
    </row>
    <row r="472" spans="1:2" x14ac:dyDescent="0.25">
      <c r="A472" s="120">
        <v>17490</v>
      </c>
      <c r="B472" s="120" t="s">
        <v>1376</v>
      </c>
    </row>
    <row r="473" spans="1:2" x14ac:dyDescent="0.25">
      <c r="A473" s="120">
        <v>17495</v>
      </c>
      <c r="B473" s="120" t="s">
        <v>1377</v>
      </c>
    </row>
    <row r="474" spans="1:2" ht="30" x14ac:dyDescent="0.25">
      <c r="A474" s="120">
        <v>17496</v>
      </c>
      <c r="B474" s="120" t="s">
        <v>1378</v>
      </c>
    </row>
    <row r="475" spans="1:2" x14ac:dyDescent="0.25">
      <c r="A475" s="120">
        <v>17497</v>
      </c>
      <c r="B475" s="120" t="s">
        <v>1379</v>
      </c>
    </row>
    <row r="476" spans="1:2" x14ac:dyDescent="0.25">
      <c r="A476" s="120">
        <v>17534</v>
      </c>
      <c r="B476" s="120" t="s">
        <v>1380</v>
      </c>
    </row>
    <row r="477" spans="1:2" x14ac:dyDescent="0.25">
      <c r="A477" s="120">
        <v>17567</v>
      </c>
      <c r="B477" s="120" t="s">
        <v>1381</v>
      </c>
    </row>
    <row r="478" spans="1:2" x14ac:dyDescent="0.25">
      <c r="A478" s="120">
        <v>17569</v>
      </c>
      <c r="B478" s="120" t="s">
        <v>1382</v>
      </c>
    </row>
    <row r="479" spans="1:2" x14ac:dyDescent="0.25">
      <c r="A479" s="120">
        <v>17570</v>
      </c>
      <c r="B479" s="120" t="s">
        <v>1383</v>
      </c>
    </row>
    <row r="480" spans="1:2" ht="30" x14ac:dyDescent="0.25">
      <c r="A480" s="120">
        <v>17629</v>
      </c>
      <c r="B480" s="120" t="s">
        <v>1384</v>
      </c>
    </row>
    <row r="481" spans="1:2" ht="30" x14ac:dyDescent="0.25">
      <c r="A481" s="120">
        <v>17630</v>
      </c>
      <c r="B481" s="120" t="s">
        <v>1385</v>
      </c>
    </row>
    <row r="482" spans="1:2" ht="30" x14ac:dyDescent="0.25">
      <c r="A482" s="120">
        <v>17631</v>
      </c>
      <c r="B482" s="120" t="s">
        <v>1386</v>
      </c>
    </row>
    <row r="483" spans="1:2" x14ac:dyDescent="0.25">
      <c r="A483" s="120">
        <v>17632</v>
      </c>
      <c r="B483" s="120" t="s">
        <v>1387</v>
      </c>
    </row>
    <row r="484" spans="1:2" ht="30" x14ac:dyDescent="0.25">
      <c r="A484" s="120">
        <v>17633</v>
      </c>
      <c r="B484" s="120" t="s">
        <v>1388</v>
      </c>
    </row>
    <row r="485" spans="1:2" ht="30" x14ac:dyDescent="0.25">
      <c r="A485" s="120">
        <v>17634</v>
      </c>
      <c r="B485" s="120" t="s">
        <v>1389</v>
      </c>
    </row>
    <row r="486" spans="1:2" ht="30" x14ac:dyDescent="0.25">
      <c r="A486" s="120">
        <v>17635</v>
      </c>
      <c r="B486" s="120" t="s">
        <v>1390</v>
      </c>
    </row>
    <row r="487" spans="1:2" x14ac:dyDescent="0.25">
      <c r="A487" s="120">
        <v>17708</v>
      </c>
      <c r="B487" s="120" t="s">
        <v>1391</v>
      </c>
    </row>
    <row r="488" spans="1:2" x14ac:dyDescent="0.25">
      <c r="A488" s="120">
        <v>17720</v>
      </c>
      <c r="B488" s="120" t="s">
        <v>1392</v>
      </c>
    </row>
    <row r="489" spans="1:2" x14ac:dyDescent="0.25">
      <c r="A489" s="120">
        <v>17722</v>
      </c>
      <c r="B489" s="120" t="s">
        <v>1393</v>
      </c>
    </row>
    <row r="490" spans="1:2" x14ac:dyDescent="0.25">
      <c r="A490" s="120">
        <v>17723</v>
      </c>
      <c r="B490" s="120" t="s">
        <v>1394</v>
      </c>
    </row>
    <row r="491" spans="1:2" x14ac:dyDescent="0.25">
      <c r="A491" s="120">
        <v>17724</v>
      </c>
      <c r="B491" s="120" t="s">
        <v>1395</v>
      </c>
    </row>
    <row r="492" spans="1:2" x14ac:dyDescent="0.25">
      <c r="A492" s="120">
        <v>17727</v>
      </c>
      <c r="B492" s="120" t="s">
        <v>1396</v>
      </c>
    </row>
    <row r="493" spans="1:2" x14ac:dyDescent="0.25">
      <c r="A493" s="120">
        <v>17761</v>
      </c>
      <c r="B493" s="120" t="s">
        <v>1397</v>
      </c>
    </row>
    <row r="494" spans="1:2" ht="30" x14ac:dyDescent="0.25">
      <c r="A494" s="120">
        <v>17763</v>
      </c>
      <c r="B494" s="120" t="s">
        <v>1398</v>
      </c>
    </row>
    <row r="495" spans="1:2" x14ac:dyDescent="0.25">
      <c r="A495" s="120">
        <v>17764</v>
      </c>
      <c r="B495" s="120" t="s">
        <v>1399</v>
      </c>
    </row>
    <row r="496" spans="1:2" x14ac:dyDescent="0.25">
      <c r="A496" s="120">
        <v>17765</v>
      </c>
      <c r="B496" s="120" t="s">
        <v>1400</v>
      </c>
    </row>
    <row r="497" spans="1:2" x14ac:dyDescent="0.25">
      <c r="A497" s="120">
        <v>17766</v>
      </c>
      <c r="B497" s="120" t="s">
        <v>1401</v>
      </c>
    </row>
    <row r="498" spans="1:2" x14ac:dyDescent="0.25">
      <c r="A498" s="120">
        <v>17767</v>
      </c>
      <c r="B498" s="120" t="s">
        <v>1402</v>
      </c>
    </row>
    <row r="499" spans="1:2" x14ac:dyDescent="0.25">
      <c r="A499" s="120">
        <v>17768</v>
      </c>
      <c r="B499" s="120" t="s">
        <v>1403</v>
      </c>
    </row>
    <row r="500" spans="1:2" ht="30" x14ac:dyDescent="0.25">
      <c r="A500" s="120">
        <v>17772</v>
      </c>
      <c r="B500" s="120" t="s">
        <v>1404</v>
      </c>
    </row>
    <row r="501" spans="1:2" x14ac:dyDescent="0.25">
      <c r="A501" s="120">
        <v>17774</v>
      </c>
      <c r="B501" s="120" t="s">
        <v>1405</v>
      </c>
    </row>
    <row r="502" spans="1:2" x14ac:dyDescent="0.25">
      <c r="A502" s="120">
        <v>17778</v>
      </c>
      <c r="B502" s="120" t="s">
        <v>1406</v>
      </c>
    </row>
    <row r="503" spans="1:2" x14ac:dyDescent="0.25">
      <c r="A503" s="120">
        <v>17779</v>
      </c>
      <c r="B503" s="120" t="s">
        <v>1407</v>
      </c>
    </row>
    <row r="504" spans="1:2" x14ac:dyDescent="0.25">
      <c r="A504" s="120">
        <v>17780</v>
      </c>
      <c r="B504" s="120" t="s">
        <v>1408</v>
      </c>
    </row>
    <row r="505" spans="1:2" ht="30" x14ac:dyDescent="0.25">
      <c r="A505" s="120">
        <v>17788</v>
      </c>
      <c r="B505" s="120" t="s">
        <v>1409</v>
      </c>
    </row>
    <row r="506" spans="1:2" ht="30" x14ac:dyDescent="0.25">
      <c r="A506" s="120">
        <v>17789</v>
      </c>
      <c r="B506" s="120" t="s">
        <v>1410</v>
      </c>
    </row>
    <row r="507" spans="1:2" x14ac:dyDescent="0.25">
      <c r="A507" s="120">
        <v>17810</v>
      </c>
      <c r="B507" s="120" t="s">
        <v>1411</v>
      </c>
    </row>
    <row r="508" spans="1:2" x14ac:dyDescent="0.25">
      <c r="A508" s="120">
        <v>17811</v>
      </c>
      <c r="B508" s="120" t="s">
        <v>1412</v>
      </c>
    </row>
    <row r="509" spans="1:2" ht="30" x14ac:dyDescent="0.25">
      <c r="A509" s="120">
        <v>17815</v>
      </c>
      <c r="B509" s="120" t="s">
        <v>1413</v>
      </c>
    </row>
    <row r="510" spans="1:2" ht="30" x14ac:dyDescent="0.25">
      <c r="A510" s="120">
        <v>17816</v>
      </c>
      <c r="B510" s="120" t="s">
        <v>1414</v>
      </c>
    </row>
    <row r="511" spans="1:2" x14ac:dyDescent="0.25">
      <c r="A511" s="120">
        <v>17840</v>
      </c>
      <c r="B511" s="120" t="s">
        <v>1415</v>
      </c>
    </row>
    <row r="512" spans="1:2" x14ac:dyDescent="0.25">
      <c r="A512" s="120">
        <v>17841</v>
      </c>
      <c r="B512" s="120" t="s">
        <v>1416</v>
      </c>
    </row>
    <row r="513" spans="1:2" x14ac:dyDescent="0.25">
      <c r="A513" s="120">
        <v>17842</v>
      </c>
      <c r="B513" s="120" t="s">
        <v>1417</v>
      </c>
    </row>
    <row r="514" spans="1:2" x14ac:dyDescent="0.25">
      <c r="A514" s="120">
        <v>17843</v>
      </c>
      <c r="B514" s="120" t="s">
        <v>1418</v>
      </c>
    </row>
    <row r="515" spans="1:2" x14ac:dyDescent="0.25">
      <c r="A515" s="120">
        <v>17844</v>
      </c>
      <c r="B515" s="120" t="s">
        <v>1419</v>
      </c>
    </row>
    <row r="516" spans="1:2" x14ac:dyDescent="0.25">
      <c r="A516" s="120">
        <v>17845</v>
      </c>
      <c r="B516" s="120" t="s">
        <v>1420</v>
      </c>
    </row>
    <row r="517" spans="1:2" x14ac:dyDescent="0.25">
      <c r="A517" s="120">
        <v>17846</v>
      </c>
      <c r="B517" s="120" t="s">
        <v>1421</v>
      </c>
    </row>
    <row r="518" spans="1:2" x14ac:dyDescent="0.25">
      <c r="A518" s="120">
        <v>17847</v>
      </c>
      <c r="B518" s="120" t="s">
        <v>1422</v>
      </c>
    </row>
    <row r="519" spans="1:2" x14ac:dyDescent="0.25">
      <c r="A519" s="120">
        <v>17848</v>
      </c>
      <c r="B519" s="120" t="s">
        <v>1423</v>
      </c>
    </row>
    <row r="520" spans="1:2" x14ac:dyDescent="0.25">
      <c r="A520" s="120">
        <v>17849</v>
      </c>
      <c r="B520" s="120" t="s">
        <v>1424</v>
      </c>
    </row>
    <row r="521" spans="1:2" x14ac:dyDescent="0.25">
      <c r="A521" s="120">
        <v>17850</v>
      </c>
      <c r="B521" s="120" t="s">
        <v>1425</v>
      </c>
    </row>
    <row r="522" spans="1:2" x14ac:dyDescent="0.25">
      <c r="A522" s="120">
        <v>17851</v>
      </c>
      <c r="B522" s="120" t="s">
        <v>1426</v>
      </c>
    </row>
    <row r="523" spans="1:2" x14ac:dyDescent="0.25">
      <c r="A523" s="120">
        <v>17852</v>
      </c>
      <c r="B523" s="120" t="s">
        <v>1427</v>
      </c>
    </row>
    <row r="524" spans="1:2" x14ac:dyDescent="0.25">
      <c r="A524" s="120">
        <v>17853</v>
      </c>
      <c r="B524" s="120" t="s">
        <v>1428</v>
      </c>
    </row>
    <row r="525" spans="1:2" x14ac:dyDescent="0.25">
      <c r="A525" s="120">
        <v>17854</v>
      </c>
      <c r="B525" s="120" t="s">
        <v>1429</v>
      </c>
    </row>
    <row r="526" spans="1:2" x14ac:dyDescent="0.25">
      <c r="A526" s="120">
        <v>17855</v>
      </c>
      <c r="B526" s="120" t="s">
        <v>1430</v>
      </c>
    </row>
    <row r="527" spans="1:2" x14ac:dyDescent="0.25">
      <c r="A527" s="120">
        <v>17856</v>
      </c>
      <c r="B527" s="120" t="s">
        <v>1431</v>
      </c>
    </row>
    <row r="528" spans="1:2" x14ac:dyDescent="0.25">
      <c r="A528" s="120">
        <v>17857</v>
      </c>
      <c r="B528" s="120" t="s">
        <v>1432</v>
      </c>
    </row>
    <row r="529" spans="1:2" x14ac:dyDescent="0.25">
      <c r="A529" s="120">
        <v>17870</v>
      </c>
      <c r="B529" s="120" t="s">
        <v>1433</v>
      </c>
    </row>
    <row r="530" spans="1:2" x14ac:dyDescent="0.25">
      <c r="A530" s="120">
        <v>17871</v>
      </c>
      <c r="B530" s="120" t="s">
        <v>1434</v>
      </c>
    </row>
    <row r="531" spans="1:2" x14ac:dyDescent="0.25">
      <c r="A531" s="120">
        <v>17880</v>
      </c>
      <c r="B531" s="120" t="s">
        <v>1435</v>
      </c>
    </row>
    <row r="532" spans="1:2" x14ac:dyDescent="0.25">
      <c r="A532" s="120">
        <v>17881</v>
      </c>
      <c r="B532" s="120" t="s">
        <v>1436</v>
      </c>
    </row>
    <row r="533" spans="1:2" x14ac:dyDescent="0.25">
      <c r="A533" s="120">
        <v>17882</v>
      </c>
      <c r="B533" s="120" t="s">
        <v>1437</v>
      </c>
    </row>
    <row r="534" spans="1:2" x14ac:dyDescent="0.25">
      <c r="A534" s="120">
        <v>17883</v>
      </c>
      <c r="B534" s="120" t="s">
        <v>1438</v>
      </c>
    </row>
    <row r="535" spans="1:2" x14ac:dyDescent="0.25">
      <c r="A535" s="120">
        <v>17904</v>
      </c>
      <c r="B535" s="120" t="s">
        <v>1439</v>
      </c>
    </row>
    <row r="536" spans="1:2" ht="30" x14ac:dyDescent="0.25">
      <c r="A536" s="120">
        <v>17911</v>
      </c>
      <c r="B536" s="120" t="s">
        <v>1440</v>
      </c>
    </row>
    <row r="537" spans="1:2" ht="30" x14ac:dyDescent="0.25">
      <c r="A537" s="120">
        <v>17912</v>
      </c>
      <c r="B537" s="120" t="s">
        <v>1441</v>
      </c>
    </row>
    <row r="538" spans="1:2" x14ac:dyDescent="0.25">
      <c r="A538" s="120">
        <v>17913</v>
      </c>
      <c r="B538" s="120" t="s">
        <v>1442</v>
      </c>
    </row>
    <row r="539" spans="1:2" ht="30" x14ac:dyDescent="0.25">
      <c r="A539" s="120">
        <v>17925</v>
      </c>
      <c r="B539" s="120" t="s">
        <v>1443</v>
      </c>
    </row>
    <row r="540" spans="1:2" x14ac:dyDescent="0.25">
      <c r="A540" s="120">
        <v>17927</v>
      </c>
      <c r="B540" s="120" t="s">
        <v>1444</v>
      </c>
    </row>
    <row r="541" spans="1:2" x14ac:dyDescent="0.25">
      <c r="A541" s="120">
        <v>17928</v>
      </c>
      <c r="B541" s="120" t="s">
        <v>1445</v>
      </c>
    </row>
    <row r="542" spans="1:2" x14ac:dyDescent="0.25">
      <c r="A542" s="120">
        <v>17937</v>
      </c>
      <c r="B542" s="120" t="s">
        <v>1446</v>
      </c>
    </row>
    <row r="543" spans="1:2" x14ac:dyDescent="0.25">
      <c r="A543" s="120">
        <v>17950</v>
      </c>
      <c r="B543" s="120" t="s">
        <v>1447</v>
      </c>
    </row>
    <row r="544" spans="1:2" x14ac:dyDescent="0.25">
      <c r="A544" s="120">
        <v>17951</v>
      </c>
      <c r="B544" s="120" t="s">
        <v>1448</v>
      </c>
    </row>
    <row r="545" spans="1:2" x14ac:dyDescent="0.25">
      <c r="A545" s="120">
        <v>17952</v>
      </c>
      <c r="B545" s="120" t="s">
        <v>1449</v>
      </c>
    </row>
    <row r="546" spans="1:2" x14ac:dyDescent="0.25">
      <c r="A546" s="120">
        <v>17953</v>
      </c>
      <c r="B546" s="120" t="s">
        <v>1450</v>
      </c>
    </row>
    <row r="547" spans="1:2" x14ac:dyDescent="0.25">
      <c r="A547" s="120">
        <v>17964</v>
      </c>
      <c r="B547" s="120" t="s">
        <v>1451</v>
      </c>
    </row>
    <row r="548" spans="1:2" x14ac:dyDescent="0.25">
      <c r="A548" s="120">
        <v>17968</v>
      </c>
      <c r="B548" s="120" t="s">
        <v>1452</v>
      </c>
    </row>
    <row r="549" spans="1:2" x14ac:dyDescent="0.25">
      <c r="A549" s="120">
        <v>17969</v>
      </c>
      <c r="B549" s="120" t="s">
        <v>1453</v>
      </c>
    </row>
    <row r="550" spans="1:2" x14ac:dyDescent="0.25">
      <c r="A550" s="120">
        <v>22001</v>
      </c>
      <c r="B550" s="120" t="s">
        <v>1454</v>
      </c>
    </row>
    <row r="551" spans="1:2" x14ac:dyDescent="0.25">
      <c r="A551" s="120">
        <v>22002</v>
      </c>
      <c r="B551" s="120" t="s">
        <v>1455</v>
      </c>
    </row>
    <row r="552" spans="1:2" x14ac:dyDescent="0.25">
      <c r="A552" s="120">
        <v>22003</v>
      </c>
      <c r="B552" s="120" t="s">
        <v>1456</v>
      </c>
    </row>
    <row r="553" spans="1:2" x14ac:dyDescent="0.25">
      <c r="A553" s="120">
        <v>22004</v>
      </c>
      <c r="B553" s="120" t="s">
        <v>1457</v>
      </c>
    </row>
    <row r="554" spans="1:2" x14ac:dyDescent="0.25">
      <c r="A554" s="120">
        <v>22005</v>
      </c>
      <c r="B554" s="120" t="s">
        <v>1458</v>
      </c>
    </row>
    <row r="555" spans="1:2" x14ac:dyDescent="0.25">
      <c r="A555" s="120">
        <v>22006</v>
      </c>
      <c r="B555" s="120" t="s">
        <v>1459</v>
      </c>
    </row>
    <row r="556" spans="1:2" x14ac:dyDescent="0.25">
      <c r="A556" s="120">
        <v>22007</v>
      </c>
      <c r="B556" s="120" t="s">
        <v>1460</v>
      </c>
    </row>
    <row r="557" spans="1:2" x14ac:dyDescent="0.25">
      <c r="A557" s="120">
        <v>22059</v>
      </c>
      <c r="B557" s="120" t="s">
        <v>1461</v>
      </c>
    </row>
    <row r="558" spans="1:2" x14ac:dyDescent="0.25">
      <c r="A558" s="120">
        <v>22094</v>
      </c>
      <c r="B558" s="120" t="s">
        <v>1462</v>
      </c>
    </row>
    <row r="559" spans="1:2" ht="30" x14ac:dyDescent="0.25">
      <c r="A559" s="120">
        <v>22361</v>
      </c>
      <c r="B559" s="120" t="s">
        <v>1463</v>
      </c>
    </row>
    <row r="560" spans="1:2" x14ac:dyDescent="0.25">
      <c r="A560" s="120">
        <v>22402</v>
      </c>
      <c r="B560" s="120" t="s">
        <v>1464</v>
      </c>
    </row>
    <row r="561" spans="1:2" x14ac:dyDescent="0.25">
      <c r="A561" s="120">
        <v>22403</v>
      </c>
      <c r="B561" s="120" t="s">
        <v>1465</v>
      </c>
    </row>
    <row r="562" spans="1:2" x14ac:dyDescent="0.25">
      <c r="A562" s="120">
        <v>22437</v>
      </c>
      <c r="B562" s="120" t="s">
        <v>1466</v>
      </c>
    </row>
    <row r="563" spans="1:2" x14ac:dyDescent="0.25">
      <c r="A563" s="120">
        <v>22452</v>
      </c>
      <c r="B563" s="120" t="s">
        <v>1467</v>
      </c>
    </row>
    <row r="564" spans="1:2" ht="30" x14ac:dyDescent="0.25">
      <c r="A564" s="120">
        <v>22460</v>
      </c>
      <c r="B564" s="120" t="s">
        <v>1468</v>
      </c>
    </row>
    <row r="565" spans="1:2" x14ac:dyDescent="0.25">
      <c r="A565" s="120">
        <v>22506</v>
      </c>
      <c r="B565" s="120" t="s">
        <v>1469</v>
      </c>
    </row>
    <row r="566" spans="1:2" ht="30" x14ac:dyDescent="0.25">
      <c r="A566" s="120">
        <v>22721</v>
      </c>
      <c r="B566" s="120" t="s">
        <v>1470</v>
      </c>
    </row>
    <row r="567" spans="1:2" x14ac:dyDescent="0.25">
      <c r="A567" s="120">
        <v>22760</v>
      </c>
      <c r="B567" s="120" t="s">
        <v>1471</v>
      </c>
    </row>
    <row r="568" spans="1:2" x14ac:dyDescent="0.25">
      <c r="A568" s="120">
        <v>22761</v>
      </c>
      <c r="B568" s="120" t="s">
        <v>1472</v>
      </c>
    </row>
    <row r="569" spans="1:2" x14ac:dyDescent="0.25">
      <c r="A569" s="120">
        <v>22777</v>
      </c>
      <c r="B569" s="120" t="s">
        <v>1473</v>
      </c>
    </row>
    <row r="570" spans="1:2" x14ac:dyDescent="0.25">
      <c r="A570" s="120">
        <v>22862</v>
      </c>
      <c r="B570" s="120" t="s">
        <v>1474</v>
      </c>
    </row>
    <row r="571" spans="1:2" x14ac:dyDescent="0.25">
      <c r="A571" s="120">
        <v>22863</v>
      </c>
      <c r="B571" s="120" t="s">
        <v>1475</v>
      </c>
    </row>
    <row r="572" spans="1:2" x14ac:dyDescent="0.25">
      <c r="A572" s="120">
        <v>22873</v>
      </c>
      <c r="B572" s="120" t="s">
        <v>1476</v>
      </c>
    </row>
    <row r="573" spans="1:2" x14ac:dyDescent="0.25">
      <c r="A573" s="120">
        <v>22965</v>
      </c>
      <c r="B573" s="120" t="s">
        <v>1477</v>
      </c>
    </row>
    <row r="574" spans="1:2" x14ac:dyDescent="0.25">
      <c r="A574" s="120">
        <v>27001</v>
      </c>
      <c r="B574" s="120" t="s">
        <v>1478</v>
      </c>
    </row>
    <row r="575" spans="1:2" x14ac:dyDescent="0.25">
      <c r="A575" s="120">
        <v>27002</v>
      </c>
      <c r="B575" s="120" t="s">
        <v>1479</v>
      </c>
    </row>
    <row r="576" spans="1:2" x14ac:dyDescent="0.25">
      <c r="A576" s="120">
        <v>27003</v>
      </c>
      <c r="B576" s="120" t="s">
        <v>1480</v>
      </c>
    </row>
    <row r="577" spans="1:2" x14ac:dyDescent="0.25">
      <c r="A577" s="120">
        <v>27004</v>
      </c>
      <c r="B577" s="120" t="s">
        <v>1481</v>
      </c>
    </row>
    <row r="578" spans="1:2" x14ac:dyDescent="0.25">
      <c r="A578" s="120">
        <v>27034</v>
      </c>
      <c r="B578" s="120" t="s">
        <v>1482</v>
      </c>
    </row>
    <row r="579" spans="1:2" ht="30" x14ac:dyDescent="0.25">
      <c r="A579" s="120">
        <v>27045</v>
      </c>
      <c r="B579" s="120" t="s">
        <v>1483</v>
      </c>
    </row>
    <row r="580" spans="1:2" x14ac:dyDescent="0.25">
      <c r="A580" s="120">
        <v>27140</v>
      </c>
      <c r="B580" s="120" t="s">
        <v>1484</v>
      </c>
    </row>
    <row r="581" spans="1:2" x14ac:dyDescent="0.25">
      <c r="A581" s="120">
        <v>27141</v>
      </c>
      <c r="B581" s="120" t="s">
        <v>1485</v>
      </c>
    </row>
    <row r="582" spans="1:2" x14ac:dyDescent="0.25">
      <c r="A582" s="120">
        <v>27145</v>
      </c>
      <c r="B582" s="120" t="s">
        <v>1486</v>
      </c>
    </row>
    <row r="583" spans="1:2" x14ac:dyDescent="0.25">
      <c r="A583" s="120">
        <v>27162</v>
      </c>
      <c r="B583" s="120" t="s">
        <v>1487</v>
      </c>
    </row>
    <row r="584" spans="1:2" x14ac:dyDescent="0.25">
      <c r="A584" s="120">
        <v>27211</v>
      </c>
      <c r="B584" s="120" t="s">
        <v>1488</v>
      </c>
    </row>
    <row r="585" spans="1:2" x14ac:dyDescent="0.25">
      <c r="A585" s="120">
        <v>27338</v>
      </c>
      <c r="B585" s="120" t="s">
        <v>1489</v>
      </c>
    </row>
    <row r="586" spans="1:2" x14ac:dyDescent="0.25">
      <c r="A586" s="120">
        <v>27355</v>
      </c>
      <c r="B586" s="120" t="s">
        <v>1490</v>
      </c>
    </row>
    <row r="587" spans="1:2" x14ac:dyDescent="0.25">
      <c r="A587" s="120">
        <v>27456</v>
      </c>
      <c r="B587" s="120" t="s">
        <v>1491</v>
      </c>
    </row>
    <row r="588" spans="1:2" x14ac:dyDescent="0.25">
      <c r="A588" s="120">
        <v>27551</v>
      </c>
      <c r="B588" s="120" t="s">
        <v>1492</v>
      </c>
    </row>
    <row r="589" spans="1:2" x14ac:dyDescent="0.25">
      <c r="A589" s="120">
        <v>27581</v>
      </c>
      <c r="B589" s="120" t="s">
        <v>1493</v>
      </c>
    </row>
    <row r="590" spans="1:2" x14ac:dyDescent="0.25">
      <c r="A590" s="120">
        <v>27709</v>
      </c>
      <c r="B590" s="120" t="s">
        <v>1494</v>
      </c>
    </row>
    <row r="591" spans="1:2" x14ac:dyDescent="0.25">
      <c r="A591" s="120">
        <v>27726</v>
      </c>
      <c r="B591" s="120" t="s">
        <v>1495</v>
      </c>
    </row>
    <row r="592" spans="1:2" x14ac:dyDescent="0.25">
      <c r="A592" s="120">
        <v>27781</v>
      </c>
      <c r="B592" s="120" t="s">
        <v>1496</v>
      </c>
    </row>
    <row r="593" spans="1:2" x14ac:dyDescent="0.25">
      <c r="A593" s="120">
        <v>27875</v>
      </c>
      <c r="B593" s="120" t="s">
        <v>1497</v>
      </c>
    </row>
    <row r="594" spans="1:2" ht="30" x14ac:dyDescent="0.25">
      <c r="A594" s="120">
        <v>27879</v>
      </c>
      <c r="B594" s="120" t="s">
        <v>1498</v>
      </c>
    </row>
    <row r="595" spans="1:2" x14ac:dyDescent="0.25">
      <c r="A595" s="120">
        <v>27902</v>
      </c>
      <c r="B595" s="120" t="s">
        <v>1499</v>
      </c>
    </row>
    <row r="596" spans="1:2" x14ac:dyDescent="0.25">
      <c r="A596" s="120">
        <v>27914</v>
      </c>
      <c r="B596" s="120" t="s">
        <v>1500</v>
      </c>
    </row>
    <row r="597" spans="1:2" x14ac:dyDescent="0.25">
      <c r="A597" s="120">
        <v>27960</v>
      </c>
      <c r="B597" s="120" t="s">
        <v>1501</v>
      </c>
    </row>
    <row r="598" spans="1:2" x14ac:dyDescent="0.25">
      <c r="A598" s="120">
        <v>29001</v>
      </c>
      <c r="B598" s="120" t="s">
        <v>1502</v>
      </c>
    </row>
    <row r="599" spans="1:2" x14ac:dyDescent="0.25">
      <c r="A599" s="120">
        <v>29002</v>
      </c>
      <c r="B599" s="120" t="s">
        <v>1503</v>
      </c>
    </row>
    <row r="600" spans="1:2" x14ac:dyDescent="0.25">
      <c r="A600" s="120">
        <v>29003</v>
      </c>
      <c r="B600" s="120" t="s">
        <v>1504</v>
      </c>
    </row>
    <row r="601" spans="1:2" x14ac:dyDescent="0.25">
      <c r="A601" s="120">
        <v>29004</v>
      </c>
      <c r="B601" s="120" t="s">
        <v>1505</v>
      </c>
    </row>
    <row r="602" spans="1:2" x14ac:dyDescent="0.25">
      <c r="A602" s="120">
        <v>29005</v>
      </c>
      <c r="B602" s="120" t="s">
        <v>1506</v>
      </c>
    </row>
    <row r="603" spans="1:2" x14ac:dyDescent="0.25">
      <c r="A603" s="120">
        <v>29006</v>
      </c>
      <c r="B603" s="120" t="s">
        <v>1507</v>
      </c>
    </row>
    <row r="604" spans="1:2" x14ac:dyDescent="0.25">
      <c r="A604" s="120">
        <v>29007</v>
      </c>
      <c r="B604" s="120" t="s">
        <v>1508</v>
      </c>
    </row>
    <row r="605" spans="1:2" x14ac:dyDescent="0.25">
      <c r="A605" s="120">
        <v>29008</v>
      </c>
      <c r="B605" s="120" t="s">
        <v>1509</v>
      </c>
    </row>
    <row r="606" spans="1:2" x14ac:dyDescent="0.25">
      <c r="A606" s="120">
        <v>29009</v>
      </c>
      <c r="B606" s="120" t="s">
        <v>1510</v>
      </c>
    </row>
    <row r="607" spans="1:2" x14ac:dyDescent="0.25">
      <c r="A607" s="120">
        <v>29010</v>
      </c>
      <c r="B607" s="120" t="s">
        <v>1511</v>
      </c>
    </row>
    <row r="608" spans="1:2" x14ac:dyDescent="0.25">
      <c r="A608" s="120">
        <v>29011</v>
      </c>
      <c r="B608" s="120" t="s">
        <v>1512</v>
      </c>
    </row>
    <row r="609" spans="1:2" x14ac:dyDescent="0.25">
      <c r="A609" s="120">
        <v>29012</v>
      </c>
      <c r="B609" s="120" t="s">
        <v>1513</v>
      </c>
    </row>
    <row r="610" spans="1:2" x14ac:dyDescent="0.25">
      <c r="A610" s="120">
        <v>29013</v>
      </c>
      <c r="B610" s="120" t="s">
        <v>1514</v>
      </c>
    </row>
    <row r="611" spans="1:2" x14ac:dyDescent="0.25">
      <c r="A611" s="120">
        <v>29014</v>
      </c>
      <c r="B611" s="120" t="s">
        <v>1515</v>
      </c>
    </row>
    <row r="612" spans="1:2" x14ac:dyDescent="0.25">
      <c r="A612" s="120">
        <v>29015</v>
      </c>
      <c r="B612" s="120" t="s">
        <v>1516</v>
      </c>
    </row>
    <row r="613" spans="1:2" x14ac:dyDescent="0.25">
      <c r="A613" s="120">
        <v>29016</v>
      </c>
      <c r="B613" s="120" t="s">
        <v>1517</v>
      </c>
    </row>
    <row r="614" spans="1:2" x14ac:dyDescent="0.25">
      <c r="A614" s="120">
        <v>29017</v>
      </c>
      <c r="B614" s="120" t="s">
        <v>1518</v>
      </c>
    </row>
    <row r="615" spans="1:2" x14ac:dyDescent="0.25">
      <c r="A615" s="120">
        <v>29018</v>
      </c>
      <c r="B615" s="120" t="s">
        <v>1519</v>
      </c>
    </row>
    <row r="616" spans="1:2" x14ac:dyDescent="0.25">
      <c r="A616" s="120">
        <v>29019</v>
      </c>
      <c r="B616" s="120" t="s">
        <v>1520</v>
      </c>
    </row>
    <row r="617" spans="1:2" x14ac:dyDescent="0.25">
      <c r="A617" s="120">
        <v>29020</v>
      </c>
      <c r="B617" s="120" t="s">
        <v>1521</v>
      </c>
    </row>
    <row r="618" spans="1:2" x14ac:dyDescent="0.25">
      <c r="A618" s="120">
        <v>29021</v>
      </c>
      <c r="B618" s="120" t="s">
        <v>1522</v>
      </c>
    </row>
    <row r="619" spans="1:2" x14ac:dyDescent="0.25">
      <c r="A619" s="120">
        <v>29022</v>
      </c>
      <c r="B619" s="120" t="s">
        <v>1102</v>
      </c>
    </row>
    <row r="620" spans="1:2" x14ac:dyDescent="0.25">
      <c r="A620" s="120">
        <v>29095</v>
      </c>
      <c r="B620" s="120" t="s">
        <v>1523</v>
      </c>
    </row>
    <row r="621" spans="1:2" x14ac:dyDescent="0.25">
      <c r="A621" s="120">
        <v>29096</v>
      </c>
      <c r="B621" s="120" t="s">
        <v>1524</v>
      </c>
    </row>
    <row r="622" spans="1:2" x14ac:dyDescent="0.25">
      <c r="A622" s="120">
        <v>29133</v>
      </c>
      <c r="B622" s="120" t="s">
        <v>1525</v>
      </c>
    </row>
    <row r="623" spans="1:2" x14ac:dyDescent="0.25">
      <c r="A623" s="120">
        <v>29134</v>
      </c>
      <c r="B623" s="120" t="s">
        <v>1526</v>
      </c>
    </row>
    <row r="624" spans="1:2" x14ac:dyDescent="0.25">
      <c r="A624" s="120">
        <v>29311</v>
      </c>
      <c r="B624" s="120" t="s">
        <v>1527</v>
      </c>
    </row>
    <row r="625" spans="1:2" x14ac:dyDescent="0.25">
      <c r="A625" s="120">
        <v>29317</v>
      </c>
      <c r="B625" s="120" t="s">
        <v>1528</v>
      </c>
    </row>
    <row r="626" spans="1:2" ht="30" x14ac:dyDescent="0.25">
      <c r="A626" s="120">
        <v>29330</v>
      </c>
      <c r="B626" s="120" t="s">
        <v>1529</v>
      </c>
    </row>
    <row r="627" spans="1:2" x14ac:dyDescent="0.25">
      <c r="A627" s="120">
        <v>29331</v>
      </c>
      <c r="B627" s="120" t="s">
        <v>1530</v>
      </c>
    </row>
    <row r="628" spans="1:2" x14ac:dyDescent="0.25">
      <c r="A628" s="120">
        <v>29366</v>
      </c>
      <c r="B628" s="120" t="s">
        <v>1531</v>
      </c>
    </row>
    <row r="629" spans="1:2" x14ac:dyDescent="0.25">
      <c r="A629" s="120">
        <v>29417</v>
      </c>
      <c r="B629" s="120" t="s">
        <v>1532</v>
      </c>
    </row>
    <row r="630" spans="1:2" x14ac:dyDescent="0.25">
      <c r="A630" s="120">
        <v>29418</v>
      </c>
      <c r="B630" s="120" t="s">
        <v>1533</v>
      </c>
    </row>
    <row r="631" spans="1:2" x14ac:dyDescent="0.25">
      <c r="A631" s="120">
        <v>29433</v>
      </c>
      <c r="B631" s="120" t="s">
        <v>1534</v>
      </c>
    </row>
    <row r="632" spans="1:2" x14ac:dyDescent="0.25">
      <c r="A632" s="120">
        <v>29507</v>
      </c>
      <c r="B632" s="120" t="s">
        <v>1535</v>
      </c>
    </row>
    <row r="633" spans="1:2" x14ac:dyDescent="0.25">
      <c r="A633" s="120">
        <v>29508</v>
      </c>
      <c r="B633" s="120" t="s">
        <v>1536</v>
      </c>
    </row>
    <row r="634" spans="1:2" x14ac:dyDescent="0.25">
      <c r="A634" s="120">
        <v>29509</v>
      </c>
      <c r="B634" s="120" t="s">
        <v>1537</v>
      </c>
    </row>
    <row r="635" spans="1:2" x14ac:dyDescent="0.25">
      <c r="A635" s="120">
        <v>29510</v>
      </c>
      <c r="B635" s="120" t="s">
        <v>1538</v>
      </c>
    </row>
    <row r="636" spans="1:2" x14ac:dyDescent="0.25">
      <c r="A636" s="120">
        <v>29516</v>
      </c>
      <c r="B636" s="120" t="s">
        <v>1539</v>
      </c>
    </row>
    <row r="637" spans="1:2" x14ac:dyDescent="0.25">
      <c r="A637" s="120">
        <v>29517</v>
      </c>
      <c r="B637" s="120" t="s">
        <v>1540</v>
      </c>
    </row>
    <row r="638" spans="1:2" x14ac:dyDescent="0.25">
      <c r="A638" s="120">
        <v>29518</v>
      </c>
      <c r="B638" s="120" t="s">
        <v>1541</v>
      </c>
    </row>
    <row r="639" spans="1:2" ht="30" x14ac:dyDescent="0.25">
      <c r="A639" s="120">
        <v>29519</v>
      </c>
      <c r="B639" s="120" t="s">
        <v>1542</v>
      </c>
    </row>
    <row r="640" spans="1:2" x14ac:dyDescent="0.25">
      <c r="A640" s="120">
        <v>29520</v>
      </c>
      <c r="B640" s="120" t="s">
        <v>1543</v>
      </c>
    </row>
    <row r="641" spans="1:2" x14ac:dyDescent="0.25">
      <c r="A641" s="120">
        <v>29521</v>
      </c>
      <c r="B641" s="120" t="s">
        <v>1544</v>
      </c>
    </row>
    <row r="642" spans="1:2" x14ac:dyDescent="0.25">
      <c r="A642" s="120">
        <v>29522</v>
      </c>
      <c r="B642" s="120" t="s">
        <v>1545</v>
      </c>
    </row>
    <row r="643" spans="1:2" x14ac:dyDescent="0.25">
      <c r="A643" s="120">
        <v>29547</v>
      </c>
      <c r="B643" s="120" t="s">
        <v>1546</v>
      </c>
    </row>
    <row r="644" spans="1:2" x14ac:dyDescent="0.25">
      <c r="A644" s="120">
        <v>29548</v>
      </c>
      <c r="B644" s="120" t="s">
        <v>1547</v>
      </c>
    </row>
    <row r="645" spans="1:2" ht="30" x14ac:dyDescent="0.25">
      <c r="A645" s="120">
        <v>29637</v>
      </c>
      <c r="B645" s="120" t="s">
        <v>1548</v>
      </c>
    </row>
    <row r="646" spans="1:2" ht="30" x14ac:dyDescent="0.25">
      <c r="A646" s="120">
        <v>29638</v>
      </c>
      <c r="B646" s="120" t="s">
        <v>1549</v>
      </c>
    </row>
    <row r="647" spans="1:2" ht="30" x14ac:dyDescent="0.25">
      <c r="A647" s="120">
        <v>29639</v>
      </c>
      <c r="B647" s="120" t="s">
        <v>1550</v>
      </c>
    </row>
    <row r="648" spans="1:2" x14ac:dyDescent="0.25">
      <c r="A648" s="120">
        <v>29702</v>
      </c>
      <c r="B648" s="120" t="s">
        <v>1551</v>
      </c>
    </row>
    <row r="649" spans="1:2" x14ac:dyDescent="0.25">
      <c r="A649" s="120">
        <v>29728</v>
      </c>
      <c r="B649" s="120" t="s">
        <v>1552</v>
      </c>
    </row>
    <row r="650" spans="1:2" x14ac:dyDescent="0.25">
      <c r="A650" s="120">
        <v>29770</v>
      </c>
      <c r="B650" s="120" t="s">
        <v>1553</v>
      </c>
    </row>
    <row r="651" spans="1:2" x14ac:dyDescent="0.25">
      <c r="A651" s="120">
        <v>29771</v>
      </c>
      <c r="B651" s="120" t="s">
        <v>1554</v>
      </c>
    </row>
    <row r="652" spans="1:2" x14ac:dyDescent="0.25">
      <c r="A652" s="120">
        <v>29783</v>
      </c>
      <c r="B652" s="120" t="s">
        <v>1555</v>
      </c>
    </row>
    <row r="653" spans="1:2" x14ac:dyDescent="0.25">
      <c r="A653" s="120">
        <v>29784</v>
      </c>
      <c r="B653" s="120" t="s">
        <v>1556</v>
      </c>
    </row>
    <row r="654" spans="1:2" ht="30" x14ac:dyDescent="0.25">
      <c r="A654" s="120">
        <v>29818</v>
      </c>
      <c r="B654" s="120" t="s">
        <v>1557</v>
      </c>
    </row>
    <row r="655" spans="1:2" ht="30" x14ac:dyDescent="0.25">
      <c r="A655" s="120">
        <v>29819</v>
      </c>
      <c r="B655" s="120" t="s">
        <v>1558</v>
      </c>
    </row>
    <row r="656" spans="1:2" x14ac:dyDescent="0.25">
      <c r="A656" s="120">
        <v>29821</v>
      </c>
      <c r="B656" s="120" t="s">
        <v>1559</v>
      </c>
    </row>
    <row r="657" spans="1:2" x14ac:dyDescent="0.25">
      <c r="A657" s="120">
        <v>29822</v>
      </c>
      <c r="B657" s="120" t="s">
        <v>1560</v>
      </c>
    </row>
    <row r="658" spans="1:2" x14ac:dyDescent="0.25">
      <c r="A658" s="120">
        <v>29859</v>
      </c>
      <c r="B658" s="120" t="s">
        <v>1561</v>
      </c>
    </row>
    <row r="659" spans="1:2" x14ac:dyDescent="0.25">
      <c r="A659" s="120">
        <v>29860</v>
      </c>
      <c r="B659" s="120" t="s">
        <v>1562</v>
      </c>
    </row>
    <row r="660" spans="1:2" x14ac:dyDescent="0.25">
      <c r="A660" s="120">
        <v>29878</v>
      </c>
      <c r="B660" s="120" t="s">
        <v>1563</v>
      </c>
    </row>
    <row r="661" spans="1:2" x14ac:dyDescent="0.25">
      <c r="A661" s="120">
        <v>29897</v>
      </c>
      <c r="B661" s="120" t="s">
        <v>1564</v>
      </c>
    </row>
    <row r="662" spans="1:2" x14ac:dyDescent="0.25">
      <c r="A662" s="120">
        <v>29898</v>
      </c>
      <c r="B662" s="120" t="s">
        <v>1565</v>
      </c>
    </row>
    <row r="663" spans="1:2" ht="30" x14ac:dyDescent="0.25">
      <c r="A663" s="120">
        <v>29919</v>
      </c>
      <c r="B663" s="120" t="s">
        <v>1566</v>
      </c>
    </row>
    <row r="664" spans="1:2" x14ac:dyDescent="0.25">
      <c r="A664" s="120">
        <v>29920</v>
      </c>
      <c r="B664" s="120" t="s">
        <v>1567</v>
      </c>
    </row>
    <row r="665" spans="1:2" x14ac:dyDescent="0.25">
      <c r="A665" s="120">
        <v>29921</v>
      </c>
      <c r="B665" s="120" t="s">
        <v>1568</v>
      </c>
    </row>
    <row r="666" spans="1:2" ht="30" x14ac:dyDescent="0.25">
      <c r="A666" s="120">
        <v>29947</v>
      </c>
      <c r="B666" s="120" t="s">
        <v>1569</v>
      </c>
    </row>
    <row r="667" spans="1:2" ht="30" x14ac:dyDescent="0.25">
      <c r="A667" s="120">
        <v>29948</v>
      </c>
      <c r="B667" s="120" t="s">
        <v>1570</v>
      </c>
    </row>
    <row r="668" spans="1:2" ht="30" x14ac:dyDescent="0.25">
      <c r="A668" s="120">
        <v>29957</v>
      </c>
      <c r="B668" s="120" t="s">
        <v>1571</v>
      </c>
    </row>
    <row r="669" spans="1:2" x14ac:dyDescent="0.25">
      <c r="A669" s="120">
        <v>33001</v>
      </c>
      <c r="B669" s="120" t="s">
        <v>1572</v>
      </c>
    </row>
    <row r="670" spans="1:2" x14ac:dyDescent="0.25">
      <c r="A670" s="120">
        <v>33002</v>
      </c>
      <c r="B670" s="120" t="s">
        <v>1573</v>
      </c>
    </row>
    <row r="671" spans="1:2" x14ac:dyDescent="0.25">
      <c r="A671" s="120">
        <v>33003</v>
      </c>
      <c r="B671" s="120" t="s">
        <v>1574</v>
      </c>
    </row>
    <row r="672" spans="1:2" x14ac:dyDescent="0.25">
      <c r="A672" s="120">
        <v>33004</v>
      </c>
      <c r="B672" s="120" t="s">
        <v>1575</v>
      </c>
    </row>
    <row r="673" spans="1:2" ht="30" x14ac:dyDescent="0.25">
      <c r="A673" s="120">
        <v>33005</v>
      </c>
      <c r="B673" s="120" t="s">
        <v>1576</v>
      </c>
    </row>
    <row r="674" spans="1:2" x14ac:dyDescent="0.25">
      <c r="A674" s="120">
        <v>33006</v>
      </c>
      <c r="B674" s="120" t="s">
        <v>1577</v>
      </c>
    </row>
    <row r="675" spans="1:2" x14ac:dyDescent="0.25">
      <c r="A675" s="120">
        <v>33007</v>
      </c>
      <c r="B675" s="120" t="s">
        <v>1578</v>
      </c>
    </row>
    <row r="676" spans="1:2" ht="30" x14ac:dyDescent="0.25">
      <c r="A676" s="120">
        <v>33008</v>
      </c>
      <c r="B676" s="120" t="s">
        <v>1579</v>
      </c>
    </row>
    <row r="677" spans="1:2" x14ac:dyDescent="0.25">
      <c r="A677" s="120">
        <v>33009</v>
      </c>
      <c r="B677" s="120" t="s">
        <v>1580</v>
      </c>
    </row>
    <row r="678" spans="1:2" ht="30" x14ac:dyDescent="0.25">
      <c r="A678" s="120">
        <v>33010</v>
      </c>
      <c r="B678" s="120" t="s">
        <v>1581</v>
      </c>
    </row>
    <row r="679" spans="1:2" ht="30" x14ac:dyDescent="0.25">
      <c r="A679" s="120">
        <v>33011</v>
      </c>
      <c r="B679" s="120" t="s">
        <v>1582</v>
      </c>
    </row>
    <row r="680" spans="1:2" x14ac:dyDescent="0.25">
      <c r="A680" s="120">
        <v>33012</v>
      </c>
      <c r="B680" s="120" t="s">
        <v>1583</v>
      </c>
    </row>
    <row r="681" spans="1:2" x14ac:dyDescent="0.25">
      <c r="A681" s="120">
        <v>33013</v>
      </c>
      <c r="B681" s="120" t="s">
        <v>1584</v>
      </c>
    </row>
    <row r="682" spans="1:2" x14ac:dyDescent="0.25">
      <c r="A682" s="120">
        <v>33014</v>
      </c>
      <c r="B682" s="120" t="s">
        <v>1585</v>
      </c>
    </row>
    <row r="683" spans="1:2" x14ac:dyDescent="0.25">
      <c r="A683" s="120">
        <v>33015</v>
      </c>
      <c r="B683" s="120" t="s">
        <v>1586</v>
      </c>
    </row>
    <row r="684" spans="1:2" x14ac:dyDescent="0.25">
      <c r="A684" s="120">
        <v>33016</v>
      </c>
      <c r="B684" s="120" t="s">
        <v>1587</v>
      </c>
    </row>
    <row r="685" spans="1:2" x14ac:dyDescent="0.25">
      <c r="A685" s="120">
        <v>33017</v>
      </c>
      <c r="B685" s="120" t="s">
        <v>1588</v>
      </c>
    </row>
    <row r="686" spans="1:2" ht="30" x14ac:dyDescent="0.25">
      <c r="A686" s="120">
        <v>33018</v>
      </c>
      <c r="B686" s="120" t="s">
        <v>1589</v>
      </c>
    </row>
    <row r="687" spans="1:2" x14ac:dyDescent="0.25">
      <c r="A687" s="120">
        <v>33019</v>
      </c>
      <c r="B687" s="120" t="s">
        <v>1590</v>
      </c>
    </row>
    <row r="688" spans="1:2" x14ac:dyDescent="0.25">
      <c r="A688" s="120">
        <v>33020</v>
      </c>
      <c r="B688" s="120" t="s">
        <v>1591</v>
      </c>
    </row>
    <row r="689" spans="1:2" x14ac:dyDescent="0.25">
      <c r="A689" s="120">
        <v>33021</v>
      </c>
      <c r="B689" s="120" t="s">
        <v>1592</v>
      </c>
    </row>
    <row r="690" spans="1:2" x14ac:dyDescent="0.25">
      <c r="A690" s="120">
        <v>33022</v>
      </c>
      <c r="B690" s="120" t="s">
        <v>1593</v>
      </c>
    </row>
    <row r="691" spans="1:2" x14ac:dyDescent="0.25">
      <c r="A691" s="120">
        <v>33023</v>
      </c>
      <c r="B691" s="120" t="s">
        <v>1594</v>
      </c>
    </row>
    <row r="692" spans="1:2" x14ac:dyDescent="0.25">
      <c r="A692" s="120">
        <v>33024</v>
      </c>
      <c r="B692" s="120" t="s">
        <v>1595</v>
      </c>
    </row>
    <row r="693" spans="1:2" x14ac:dyDescent="0.25">
      <c r="A693" s="120">
        <v>33025</v>
      </c>
      <c r="B693" s="120" t="s">
        <v>1596</v>
      </c>
    </row>
    <row r="694" spans="1:2" x14ac:dyDescent="0.25">
      <c r="A694" s="120">
        <v>33026</v>
      </c>
      <c r="B694" s="120" t="s">
        <v>1597</v>
      </c>
    </row>
    <row r="695" spans="1:2" ht="30" x14ac:dyDescent="0.25">
      <c r="A695" s="120">
        <v>33027</v>
      </c>
      <c r="B695" s="120" t="s">
        <v>1598</v>
      </c>
    </row>
    <row r="696" spans="1:2" x14ac:dyDescent="0.25">
      <c r="A696" s="120">
        <v>33028</v>
      </c>
      <c r="B696" s="120" t="s">
        <v>1599</v>
      </c>
    </row>
    <row r="697" spans="1:2" x14ac:dyDescent="0.25">
      <c r="A697" s="120">
        <v>33029</v>
      </c>
      <c r="B697" s="120" t="s">
        <v>1600</v>
      </c>
    </row>
    <row r="698" spans="1:2" x14ac:dyDescent="0.25">
      <c r="A698" s="120">
        <v>33030</v>
      </c>
      <c r="B698" s="120" t="s">
        <v>1601</v>
      </c>
    </row>
    <row r="699" spans="1:2" x14ac:dyDescent="0.25">
      <c r="A699" s="120">
        <v>33031</v>
      </c>
      <c r="B699" s="120" t="s">
        <v>1602</v>
      </c>
    </row>
    <row r="700" spans="1:2" x14ac:dyDescent="0.25">
      <c r="A700" s="120">
        <v>33032</v>
      </c>
      <c r="B700" s="120" t="s">
        <v>1603</v>
      </c>
    </row>
    <row r="701" spans="1:2" x14ac:dyDescent="0.25">
      <c r="A701" s="120">
        <v>33033</v>
      </c>
      <c r="B701" s="120" t="s">
        <v>1604</v>
      </c>
    </row>
    <row r="702" spans="1:2" ht="30" x14ac:dyDescent="0.25">
      <c r="A702" s="120">
        <v>33034</v>
      </c>
      <c r="B702" s="120" t="s">
        <v>1605</v>
      </c>
    </row>
    <row r="703" spans="1:2" x14ac:dyDescent="0.25">
      <c r="A703" s="120">
        <v>33035</v>
      </c>
      <c r="B703" s="120" t="s">
        <v>1606</v>
      </c>
    </row>
    <row r="704" spans="1:2" x14ac:dyDescent="0.25">
      <c r="A704" s="120">
        <v>33036</v>
      </c>
      <c r="B704" s="120" t="s">
        <v>1607</v>
      </c>
    </row>
    <row r="705" spans="1:2" x14ac:dyDescent="0.25">
      <c r="A705" s="120">
        <v>33037</v>
      </c>
      <c r="B705" s="120" t="s">
        <v>1608</v>
      </c>
    </row>
    <row r="706" spans="1:2" x14ac:dyDescent="0.25">
      <c r="A706" s="120">
        <v>33038</v>
      </c>
      <c r="B706" s="120" t="s">
        <v>1609</v>
      </c>
    </row>
    <row r="707" spans="1:2" ht="30" x14ac:dyDescent="0.25">
      <c r="A707" s="120">
        <v>33039</v>
      </c>
      <c r="B707" s="120" t="s">
        <v>1610</v>
      </c>
    </row>
    <row r="708" spans="1:2" x14ac:dyDescent="0.25">
      <c r="A708" s="120">
        <v>33040</v>
      </c>
      <c r="B708" s="120" t="s">
        <v>1611</v>
      </c>
    </row>
    <row r="709" spans="1:2" x14ac:dyDescent="0.25">
      <c r="A709" s="120">
        <v>33041</v>
      </c>
      <c r="B709" s="120" t="s">
        <v>1612</v>
      </c>
    </row>
    <row r="710" spans="1:2" x14ac:dyDescent="0.25">
      <c r="A710" s="120">
        <v>33042</v>
      </c>
      <c r="B710" s="120" t="s">
        <v>1613</v>
      </c>
    </row>
    <row r="711" spans="1:2" x14ac:dyDescent="0.25">
      <c r="A711" s="120">
        <v>33043</v>
      </c>
      <c r="B711" s="120" t="s">
        <v>1614</v>
      </c>
    </row>
    <row r="712" spans="1:2" x14ac:dyDescent="0.25">
      <c r="A712" s="120">
        <v>33044</v>
      </c>
      <c r="B712" s="120" t="s">
        <v>1615</v>
      </c>
    </row>
    <row r="713" spans="1:2" ht="30" x14ac:dyDescent="0.25">
      <c r="A713" s="120">
        <v>33045</v>
      </c>
      <c r="B713" s="120" t="s">
        <v>1616</v>
      </c>
    </row>
    <row r="714" spans="1:2" x14ac:dyDescent="0.25">
      <c r="A714" s="120">
        <v>33046</v>
      </c>
      <c r="B714" s="120" t="s">
        <v>1617</v>
      </c>
    </row>
    <row r="715" spans="1:2" x14ac:dyDescent="0.25">
      <c r="A715" s="120">
        <v>33047</v>
      </c>
      <c r="B715" s="120" t="s">
        <v>1618</v>
      </c>
    </row>
    <row r="716" spans="1:2" x14ac:dyDescent="0.25">
      <c r="A716" s="120">
        <v>33048</v>
      </c>
      <c r="B716" s="120" t="s">
        <v>1619</v>
      </c>
    </row>
    <row r="717" spans="1:2" x14ac:dyDescent="0.25">
      <c r="A717" s="120">
        <v>33049</v>
      </c>
      <c r="B717" s="120" t="s">
        <v>1620</v>
      </c>
    </row>
    <row r="718" spans="1:2" x14ac:dyDescent="0.25">
      <c r="A718" s="120">
        <v>33050</v>
      </c>
      <c r="B718" s="120" t="s">
        <v>1621</v>
      </c>
    </row>
    <row r="719" spans="1:2" x14ac:dyDescent="0.25">
      <c r="A719" s="120">
        <v>33051</v>
      </c>
      <c r="B719" s="120" t="s">
        <v>1622</v>
      </c>
    </row>
    <row r="720" spans="1:2" x14ac:dyDescent="0.25">
      <c r="A720" s="120">
        <v>33052</v>
      </c>
      <c r="B720" s="120" t="s">
        <v>1623</v>
      </c>
    </row>
    <row r="721" spans="1:2" x14ac:dyDescent="0.25">
      <c r="A721" s="120">
        <v>33053</v>
      </c>
      <c r="B721" s="120" t="s">
        <v>1624</v>
      </c>
    </row>
    <row r="722" spans="1:2" ht="15.75" thickBot="1" x14ac:dyDescent="0.3">
      <c r="A722" s="120">
        <v>33054</v>
      </c>
      <c r="B722" s="120" t="s">
        <v>1625</v>
      </c>
    </row>
    <row r="723" spans="1:2" ht="15.75" thickBot="1" x14ac:dyDescent="0.3">
      <c r="A723" s="121">
        <v>33055</v>
      </c>
      <c r="B723" s="121" t="s">
        <v>1626</v>
      </c>
    </row>
    <row r="724" spans="1:2" ht="15.75" thickBot="1" x14ac:dyDescent="0.3">
      <c r="A724" s="121">
        <v>33056</v>
      </c>
      <c r="B724" s="121" t="s">
        <v>1627</v>
      </c>
    </row>
    <row r="725" spans="1:2" ht="15.75" thickBot="1" x14ac:dyDescent="0.3">
      <c r="A725" s="121">
        <v>33057</v>
      </c>
      <c r="B725" s="121" t="s">
        <v>1628</v>
      </c>
    </row>
    <row r="726" spans="1:2" ht="15.75" thickBot="1" x14ac:dyDescent="0.3">
      <c r="A726" s="121">
        <v>33058</v>
      </c>
      <c r="B726" s="121" t="s">
        <v>1629</v>
      </c>
    </row>
    <row r="727" spans="1:2" ht="15.75" thickBot="1" x14ac:dyDescent="0.3">
      <c r="A727" s="121">
        <v>33059</v>
      </c>
      <c r="B727" s="121" t="s">
        <v>1630</v>
      </c>
    </row>
    <row r="728" spans="1:2" ht="15.75" thickBot="1" x14ac:dyDescent="0.3">
      <c r="A728" s="121">
        <v>33060</v>
      </c>
      <c r="B728" s="121" t="s">
        <v>1631</v>
      </c>
    </row>
    <row r="729" spans="1:2" ht="15.75" thickBot="1" x14ac:dyDescent="0.3">
      <c r="A729" s="121">
        <v>33061</v>
      </c>
      <c r="B729" s="121" t="s">
        <v>1632</v>
      </c>
    </row>
    <row r="730" spans="1:2" ht="15.75" thickBot="1" x14ac:dyDescent="0.3">
      <c r="A730" s="121">
        <v>33062</v>
      </c>
      <c r="B730" s="121" t="s">
        <v>1633</v>
      </c>
    </row>
    <row r="731" spans="1:2" x14ac:dyDescent="0.25">
      <c r="A731" s="120">
        <v>33063</v>
      </c>
      <c r="B731" s="120" t="s">
        <v>1634</v>
      </c>
    </row>
    <row r="732" spans="1:2" x14ac:dyDescent="0.25">
      <c r="A732" s="120">
        <v>33122</v>
      </c>
      <c r="B732" s="120" t="s">
        <v>1635</v>
      </c>
    </row>
    <row r="733" spans="1:2" x14ac:dyDescent="0.25">
      <c r="A733" s="120">
        <v>33123</v>
      </c>
      <c r="B733" s="120" t="s">
        <v>1636</v>
      </c>
    </row>
    <row r="734" spans="1:2" x14ac:dyDescent="0.25">
      <c r="A734" s="120">
        <v>33146</v>
      </c>
      <c r="B734" s="120" t="s">
        <v>1637</v>
      </c>
    </row>
    <row r="735" spans="1:2" x14ac:dyDescent="0.25">
      <c r="A735" s="120">
        <v>33152</v>
      </c>
      <c r="B735" s="120" t="s">
        <v>1638</v>
      </c>
    </row>
    <row r="736" spans="1:2" x14ac:dyDescent="0.25">
      <c r="A736" s="120">
        <v>33155</v>
      </c>
      <c r="B736" s="120" t="s">
        <v>1639</v>
      </c>
    </row>
    <row r="737" spans="1:2" x14ac:dyDescent="0.25">
      <c r="A737" s="120">
        <v>33160</v>
      </c>
      <c r="B737" s="120" t="s">
        <v>1640</v>
      </c>
    </row>
    <row r="738" spans="1:2" x14ac:dyDescent="0.25">
      <c r="A738" s="120">
        <v>33163</v>
      </c>
      <c r="B738" s="120" t="s">
        <v>1641</v>
      </c>
    </row>
    <row r="739" spans="1:2" x14ac:dyDescent="0.25">
      <c r="A739" s="120">
        <v>33166</v>
      </c>
      <c r="B739" s="120" t="s">
        <v>1642</v>
      </c>
    </row>
    <row r="740" spans="1:2" x14ac:dyDescent="0.25">
      <c r="A740" s="120">
        <v>33192</v>
      </c>
      <c r="B740" s="120" t="s">
        <v>1643</v>
      </c>
    </row>
    <row r="741" spans="1:2" x14ac:dyDescent="0.25">
      <c r="A741" s="120">
        <v>33210</v>
      </c>
      <c r="B741" s="120" t="s">
        <v>1644</v>
      </c>
    </row>
    <row r="742" spans="1:2" x14ac:dyDescent="0.25">
      <c r="A742" s="120">
        <v>33215</v>
      </c>
      <c r="B742" s="120" t="s">
        <v>1645</v>
      </c>
    </row>
    <row r="743" spans="1:2" x14ac:dyDescent="0.25">
      <c r="A743" s="120">
        <v>33244</v>
      </c>
      <c r="B743" s="120" t="s">
        <v>1620</v>
      </c>
    </row>
    <row r="744" spans="1:2" x14ac:dyDescent="0.25">
      <c r="A744" s="120">
        <v>33245</v>
      </c>
      <c r="B744" s="120" t="s">
        <v>1646</v>
      </c>
    </row>
    <row r="745" spans="1:2" x14ac:dyDescent="0.25">
      <c r="A745" s="120">
        <v>33246</v>
      </c>
      <c r="B745" s="120" t="s">
        <v>1647</v>
      </c>
    </row>
    <row r="746" spans="1:2" x14ac:dyDescent="0.25">
      <c r="A746" s="120">
        <v>33264</v>
      </c>
      <c r="B746" s="120" t="s">
        <v>1648</v>
      </c>
    </row>
    <row r="747" spans="1:2" x14ac:dyDescent="0.25">
      <c r="A747" s="120">
        <v>33265</v>
      </c>
      <c r="B747" s="120" t="s">
        <v>1649</v>
      </c>
    </row>
    <row r="748" spans="1:2" x14ac:dyDescent="0.25">
      <c r="A748" s="120">
        <v>33271</v>
      </c>
      <c r="B748" s="120" t="s">
        <v>1650</v>
      </c>
    </row>
    <row r="749" spans="1:2" x14ac:dyDescent="0.25">
      <c r="A749" s="120">
        <v>33333</v>
      </c>
      <c r="B749" s="120" t="s">
        <v>1651</v>
      </c>
    </row>
    <row r="750" spans="1:2" x14ac:dyDescent="0.25">
      <c r="A750" s="120">
        <v>33334</v>
      </c>
      <c r="B750" s="120" t="s">
        <v>1652</v>
      </c>
    </row>
    <row r="751" spans="1:2" x14ac:dyDescent="0.25">
      <c r="A751" s="120">
        <v>33339</v>
      </c>
      <c r="B751" s="120" t="s">
        <v>1653</v>
      </c>
    </row>
    <row r="752" spans="1:2" x14ac:dyDescent="0.25">
      <c r="A752" s="120">
        <v>33346</v>
      </c>
      <c r="B752" s="120" t="s">
        <v>1654</v>
      </c>
    </row>
    <row r="753" spans="1:2" x14ac:dyDescent="0.25">
      <c r="A753" s="120">
        <v>33353</v>
      </c>
      <c r="B753" s="120" t="s">
        <v>1655</v>
      </c>
    </row>
    <row r="754" spans="1:2" x14ac:dyDescent="0.25">
      <c r="A754" s="120">
        <v>33354</v>
      </c>
      <c r="B754" s="120" t="s">
        <v>1656</v>
      </c>
    </row>
    <row r="755" spans="1:2" x14ac:dyDescent="0.25">
      <c r="A755" s="120">
        <v>33369</v>
      </c>
      <c r="B755" s="120" t="s">
        <v>1657</v>
      </c>
    </row>
    <row r="756" spans="1:2" x14ac:dyDescent="0.25">
      <c r="A756" s="120">
        <v>33421</v>
      </c>
      <c r="B756" s="120" t="s">
        <v>1658</v>
      </c>
    </row>
    <row r="757" spans="1:2" ht="30" x14ac:dyDescent="0.25">
      <c r="A757" s="120">
        <v>33422</v>
      </c>
      <c r="B757" s="120" t="s">
        <v>1659</v>
      </c>
    </row>
    <row r="758" spans="1:2" ht="30" x14ac:dyDescent="0.25">
      <c r="A758" s="120">
        <v>33423</v>
      </c>
      <c r="B758" s="120" t="s">
        <v>1660</v>
      </c>
    </row>
    <row r="759" spans="1:2" ht="30" x14ac:dyDescent="0.25">
      <c r="A759" s="120">
        <v>33424</v>
      </c>
      <c r="B759" s="120" t="s">
        <v>1661</v>
      </c>
    </row>
    <row r="760" spans="1:2" x14ac:dyDescent="0.25">
      <c r="A760" s="120">
        <v>33426</v>
      </c>
      <c r="B760" s="120" t="s">
        <v>1662</v>
      </c>
    </row>
    <row r="761" spans="1:2" ht="30" x14ac:dyDescent="0.25">
      <c r="A761" s="120">
        <v>33429</v>
      </c>
      <c r="B761" s="120" t="s">
        <v>1663</v>
      </c>
    </row>
    <row r="762" spans="1:2" x14ac:dyDescent="0.25">
      <c r="A762" s="120">
        <v>33430</v>
      </c>
      <c r="B762" s="120" t="s">
        <v>1664</v>
      </c>
    </row>
    <row r="763" spans="1:2" ht="30" x14ac:dyDescent="0.25">
      <c r="A763" s="120">
        <v>33435</v>
      </c>
      <c r="B763" s="120" t="s">
        <v>1665</v>
      </c>
    </row>
    <row r="764" spans="1:2" x14ac:dyDescent="0.25">
      <c r="A764" s="120">
        <v>33439</v>
      </c>
      <c r="B764" s="120" t="s">
        <v>1666</v>
      </c>
    </row>
    <row r="765" spans="1:2" x14ac:dyDescent="0.25">
      <c r="A765" s="120">
        <v>33445</v>
      </c>
      <c r="B765" s="120" t="s">
        <v>1667</v>
      </c>
    </row>
    <row r="766" spans="1:2" x14ac:dyDescent="0.25">
      <c r="A766" s="120">
        <v>33457</v>
      </c>
      <c r="B766" s="120" t="s">
        <v>1668</v>
      </c>
    </row>
    <row r="767" spans="1:2" ht="30" x14ac:dyDescent="0.25">
      <c r="A767" s="120">
        <v>33468</v>
      </c>
      <c r="B767" s="120" t="s">
        <v>1669</v>
      </c>
    </row>
    <row r="768" spans="1:2" x14ac:dyDescent="0.25">
      <c r="A768" s="120">
        <v>33487</v>
      </c>
      <c r="B768" s="120" t="s">
        <v>1670</v>
      </c>
    </row>
    <row r="769" spans="1:2" x14ac:dyDescent="0.25">
      <c r="A769" s="120">
        <v>33491</v>
      </c>
      <c r="B769" s="120" t="s">
        <v>1671</v>
      </c>
    </row>
    <row r="770" spans="1:2" x14ac:dyDescent="0.25">
      <c r="A770" s="120">
        <v>33539</v>
      </c>
      <c r="B770" s="120" t="s">
        <v>1672</v>
      </c>
    </row>
    <row r="771" spans="1:2" x14ac:dyDescent="0.25">
      <c r="A771" s="120">
        <v>33549</v>
      </c>
      <c r="B771" s="120" t="s">
        <v>1673</v>
      </c>
    </row>
    <row r="772" spans="1:2" x14ac:dyDescent="0.25">
      <c r="A772" s="120">
        <v>33552</v>
      </c>
      <c r="B772" s="120" t="s">
        <v>1674</v>
      </c>
    </row>
    <row r="773" spans="1:2" x14ac:dyDescent="0.25">
      <c r="A773" s="120">
        <v>33625</v>
      </c>
      <c r="B773" s="120" t="s">
        <v>1675</v>
      </c>
    </row>
    <row r="774" spans="1:2" x14ac:dyDescent="0.25">
      <c r="A774" s="120">
        <v>33645</v>
      </c>
      <c r="B774" s="120" t="s">
        <v>1676</v>
      </c>
    </row>
    <row r="775" spans="1:2" x14ac:dyDescent="0.25">
      <c r="A775" s="120">
        <v>33705</v>
      </c>
      <c r="B775" s="120" t="s">
        <v>1677</v>
      </c>
    </row>
    <row r="776" spans="1:2" x14ac:dyDescent="0.25">
      <c r="A776" s="120">
        <v>33706</v>
      </c>
      <c r="B776" s="120" t="s">
        <v>1678</v>
      </c>
    </row>
    <row r="777" spans="1:2" x14ac:dyDescent="0.25">
      <c r="A777" s="120">
        <v>33714</v>
      </c>
      <c r="B777" s="120" t="s">
        <v>1679</v>
      </c>
    </row>
    <row r="778" spans="1:2" x14ac:dyDescent="0.25">
      <c r="A778" s="120">
        <v>33817</v>
      </c>
      <c r="B778" s="120" t="s">
        <v>1680</v>
      </c>
    </row>
    <row r="779" spans="1:2" x14ac:dyDescent="0.25">
      <c r="A779" s="120">
        <v>33887</v>
      </c>
      <c r="B779" s="120" t="s">
        <v>1681</v>
      </c>
    </row>
    <row r="780" spans="1:2" x14ac:dyDescent="0.25">
      <c r="A780" s="120">
        <v>33910</v>
      </c>
      <c r="B780" s="120" t="s">
        <v>1682</v>
      </c>
    </row>
    <row r="781" spans="1:2" x14ac:dyDescent="0.25">
      <c r="A781" s="120">
        <v>33926</v>
      </c>
      <c r="B781" s="120" t="s">
        <v>1683</v>
      </c>
    </row>
    <row r="782" spans="1:2" x14ac:dyDescent="0.25">
      <c r="A782" s="120">
        <v>33933</v>
      </c>
      <c r="B782" s="120" t="s">
        <v>1684</v>
      </c>
    </row>
    <row r="783" spans="1:2" x14ac:dyDescent="0.25">
      <c r="A783" s="120">
        <v>33934</v>
      </c>
      <c r="B783" s="120" t="s">
        <v>1685</v>
      </c>
    </row>
    <row r="784" spans="1:2" x14ac:dyDescent="0.25">
      <c r="A784" s="120">
        <v>33939</v>
      </c>
      <c r="B784" s="120" t="s">
        <v>1686</v>
      </c>
    </row>
    <row r="785" spans="1:2" x14ac:dyDescent="0.25">
      <c r="A785" s="120">
        <v>33966</v>
      </c>
      <c r="B785" s="120" t="s">
        <v>1687</v>
      </c>
    </row>
    <row r="786" spans="1:2" x14ac:dyDescent="0.25">
      <c r="A786" s="120">
        <v>34001</v>
      </c>
      <c r="B786" s="120" t="s">
        <v>1688</v>
      </c>
    </row>
    <row r="787" spans="1:2" x14ac:dyDescent="0.25">
      <c r="A787" s="120">
        <v>34002</v>
      </c>
      <c r="B787" s="120" t="s">
        <v>1689</v>
      </c>
    </row>
    <row r="788" spans="1:2" ht="30" x14ac:dyDescent="0.25">
      <c r="A788" s="120">
        <v>34003</v>
      </c>
      <c r="B788" s="120" t="s">
        <v>1690</v>
      </c>
    </row>
    <row r="789" spans="1:2" ht="30" x14ac:dyDescent="0.25">
      <c r="A789" s="120">
        <v>34004</v>
      </c>
      <c r="B789" s="120" t="s">
        <v>1691</v>
      </c>
    </row>
    <row r="790" spans="1:2" x14ac:dyDescent="0.25">
      <c r="A790" s="120">
        <v>34005</v>
      </c>
      <c r="B790" s="120" t="s">
        <v>1692</v>
      </c>
    </row>
    <row r="791" spans="1:2" x14ac:dyDescent="0.25">
      <c r="A791" s="120">
        <v>34006</v>
      </c>
      <c r="B791" s="120" t="s">
        <v>1693</v>
      </c>
    </row>
    <row r="792" spans="1:2" x14ac:dyDescent="0.25">
      <c r="A792" s="120">
        <v>34007</v>
      </c>
      <c r="B792" s="120" t="s">
        <v>1694</v>
      </c>
    </row>
    <row r="793" spans="1:2" x14ac:dyDescent="0.25">
      <c r="A793" s="120">
        <v>34008</v>
      </c>
      <c r="B793" s="120" t="s">
        <v>1695</v>
      </c>
    </row>
    <row r="794" spans="1:2" x14ac:dyDescent="0.25">
      <c r="A794" s="120">
        <v>34009</v>
      </c>
      <c r="B794" s="120" t="s">
        <v>1696</v>
      </c>
    </row>
    <row r="795" spans="1:2" x14ac:dyDescent="0.25">
      <c r="A795" s="120">
        <v>34010</v>
      </c>
      <c r="B795" s="120" t="s">
        <v>1697</v>
      </c>
    </row>
    <row r="796" spans="1:2" ht="30" x14ac:dyDescent="0.25">
      <c r="A796" s="120">
        <v>34011</v>
      </c>
      <c r="B796" s="120" t="s">
        <v>1698</v>
      </c>
    </row>
    <row r="797" spans="1:2" x14ac:dyDescent="0.25">
      <c r="A797" s="120">
        <v>34012</v>
      </c>
      <c r="B797" s="120" t="s">
        <v>1699</v>
      </c>
    </row>
    <row r="798" spans="1:2" x14ac:dyDescent="0.25">
      <c r="A798" s="120">
        <v>34013</v>
      </c>
      <c r="B798" s="120" t="s">
        <v>1700</v>
      </c>
    </row>
    <row r="799" spans="1:2" x14ac:dyDescent="0.25">
      <c r="A799" s="120">
        <v>34014</v>
      </c>
      <c r="B799" s="120" t="s">
        <v>1701</v>
      </c>
    </row>
    <row r="800" spans="1:2" x14ac:dyDescent="0.25">
      <c r="A800" s="120">
        <v>34015</v>
      </c>
      <c r="B800" s="120" t="s">
        <v>1702</v>
      </c>
    </row>
    <row r="801" spans="1:2" x14ac:dyDescent="0.25">
      <c r="A801" s="120">
        <v>34052</v>
      </c>
      <c r="B801" s="120" t="s">
        <v>1703</v>
      </c>
    </row>
    <row r="802" spans="1:2" x14ac:dyDescent="0.25">
      <c r="A802" s="120">
        <v>34053</v>
      </c>
      <c r="B802" s="120" t="s">
        <v>1704</v>
      </c>
    </row>
    <row r="803" spans="1:2" x14ac:dyDescent="0.25">
      <c r="A803" s="120">
        <v>34054</v>
      </c>
      <c r="B803" s="120" t="s">
        <v>1705</v>
      </c>
    </row>
    <row r="804" spans="1:2" x14ac:dyDescent="0.25">
      <c r="A804" s="120">
        <v>34055</v>
      </c>
      <c r="B804" s="120" t="s">
        <v>1706</v>
      </c>
    </row>
    <row r="805" spans="1:2" x14ac:dyDescent="0.25">
      <c r="A805" s="120">
        <v>34057</v>
      </c>
      <c r="B805" s="120" t="s">
        <v>1707</v>
      </c>
    </row>
    <row r="806" spans="1:2" x14ac:dyDescent="0.25">
      <c r="A806" s="120">
        <v>34070</v>
      </c>
      <c r="B806" s="120" t="s">
        <v>1708</v>
      </c>
    </row>
    <row r="807" spans="1:2" x14ac:dyDescent="0.25">
      <c r="A807" s="120">
        <v>34090</v>
      </c>
      <c r="B807" s="120" t="s">
        <v>1709</v>
      </c>
    </row>
    <row r="808" spans="1:2" x14ac:dyDescent="0.25">
      <c r="A808" s="120">
        <v>34194</v>
      </c>
      <c r="B808" s="120" t="s">
        <v>1710</v>
      </c>
    </row>
    <row r="809" spans="1:2" x14ac:dyDescent="0.25">
      <c r="A809" s="120">
        <v>34195</v>
      </c>
      <c r="B809" s="120" t="s">
        <v>1711</v>
      </c>
    </row>
    <row r="810" spans="1:2" x14ac:dyDescent="0.25">
      <c r="A810" s="120">
        <v>34228</v>
      </c>
      <c r="B810" s="120" t="s">
        <v>1712</v>
      </c>
    </row>
    <row r="811" spans="1:2" x14ac:dyDescent="0.25">
      <c r="A811" s="120">
        <v>34238</v>
      </c>
      <c r="B811" s="120" t="s">
        <v>1713</v>
      </c>
    </row>
    <row r="812" spans="1:2" x14ac:dyDescent="0.25">
      <c r="A812" s="120">
        <v>34240</v>
      </c>
      <c r="B812" s="120" t="s">
        <v>1714</v>
      </c>
    </row>
    <row r="813" spans="1:2" x14ac:dyDescent="0.25">
      <c r="A813" s="120">
        <v>34273</v>
      </c>
      <c r="B813" s="120" t="s">
        <v>1715</v>
      </c>
    </row>
    <row r="814" spans="1:2" x14ac:dyDescent="0.25">
      <c r="A814" s="120">
        <v>34274</v>
      </c>
      <c r="B814" s="120" t="s">
        <v>1716</v>
      </c>
    </row>
    <row r="815" spans="1:2" ht="30" x14ac:dyDescent="0.25">
      <c r="A815" s="120">
        <v>34275</v>
      </c>
      <c r="B815" s="120" t="s">
        <v>1717</v>
      </c>
    </row>
    <row r="816" spans="1:2" x14ac:dyDescent="0.25">
      <c r="A816" s="120">
        <v>34276</v>
      </c>
      <c r="B816" s="120" t="s">
        <v>1718</v>
      </c>
    </row>
    <row r="817" spans="1:2" x14ac:dyDescent="0.25">
      <c r="A817" s="120">
        <v>34277</v>
      </c>
      <c r="B817" s="120" t="s">
        <v>1719</v>
      </c>
    </row>
    <row r="818" spans="1:2" x14ac:dyDescent="0.25">
      <c r="A818" s="120">
        <v>34292</v>
      </c>
      <c r="B818" s="120" t="s">
        <v>1720</v>
      </c>
    </row>
    <row r="819" spans="1:2" ht="30" x14ac:dyDescent="0.25">
      <c r="A819" s="120">
        <v>34293</v>
      </c>
      <c r="B819" s="120" t="s">
        <v>1721</v>
      </c>
    </row>
    <row r="820" spans="1:2" x14ac:dyDescent="0.25">
      <c r="A820" s="120">
        <v>34294</v>
      </c>
      <c r="B820" s="120" t="s">
        <v>1722</v>
      </c>
    </row>
    <row r="821" spans="1:2" x14ac:dyDescent="0.25">
      <c r="A821" s="120">
        <v>34295</v>
      </c>
      <c r="B821" s="120" t="s">
        <v>1723</v>
      </c>
    </row>
    <row r="822" spans="1:2" ht="30" x14ac:dyDescent="0.25">
      <c r="A822" s="120">
        <v>34296</v>
      </c>
      <c r="B822" s="120" t="s">
        <v>1724</v>
      </c>
    </row>
    <row r="823" spans="1:2" x14ac:dyDescent="0.25">
      <c r="A823" s="120">
        <v>34310</v>
      </c>
      <c r="B823" s="120" t="s">
        <v>1725</v>
      </c>
    </row>
    <row r="824" spans="1:2" x14ac:dyDescent="0.25">
      <c r="A824" s="120">
        <v>34341</v>
      </c>
      <c r="B824" s="120" t="s">
        <v>1726</v>
      </c>
    </row>
    <row r="825" spans="1:2" x14ac:dyDescent="0.25">
      <c r="A825" s="120">
        <v>34342</v>
      </c>
      <c r="B825" s="120" t="s">
        <v>1727</v>
      </c>
    </row>
    <row r="826" spans="1:2" ht="30" x14ac:dyDescent="0.25">
      <c r="A826" s="120">
        <v>34352</v>
      </c>
      <c r="B826" s="120" t="s">
        <v>1728</v>
      </c>
    </row>
    <row r="827" spans="1:2" x14ac:dyDescent="0.25">
      <c r="A827" s="120">
        <v>34515</v>
      </c>
      <c r="B827" s="120" t="s">
        <v>1729</v>
      </c>
    </row>
    <row r="828" spans="1:2" x14ac:dyDescent="0.25">
      <c r="A828" s="120">
        <v>34543</v>
      </c>
      <c r="B828" s="120" t="s">
        <v>1730</v>
      </c>
    </row>
    <row r="829" spans="1:2" x14ac:dyDescent="0.25">
      <c r="A829" s="120">
        <v>34544</v>
      </c>
      <c r="B829" s="120" t="s">
        <v>1731</v>
      </c>
    </row>
    <row r="830" spans="1:2" x14ac:dyDescent="0.25">
      <c r="A830" s="120">
        <v>34619</v>
      </c>
      <c r="B830" s="120" t="s">
        <v>1732</v>
      </c>
    </row>
    <row r="831" spans="1:2" x14ac:dyDescent="0.25">
      <c r="A831" s="120">
        <v>34621</v>
      </c>
      <c r="B831" s="120" t="s">
        <v>1733</v>
      </c>
    </row>
    <row r="832" spans="1:2" x14ac:dyDescent="0.25">
      <c r="A832" s="120">
        <v>34646</v>
      </c>
      <c r="B832" s="120" t="s">
        <v>1734</v>
      </c>
    </row>
    <row r="833" spans="1:2" x14ac:dyDescent="0.25">
      <c r="A833" s="120">
        <v>34647</v>
      </c>
      <c r="B833" s="120" t="s">
        <v>1735</v>
      </c>
    </row>
    <row r="834" spans="1:2" x14ac:dyDescent="0.25">
      <c r="A834" s="120">
        <v>34648</v>
      </c>
      <c r="B834" s="120" t="s">
        <v>1736</v>
      </c>
    </row>
    <row r="835" spans="1:2" x14ac:dyDescent="0.25">
      <c r="A835" s="120">
        <v>34664</v>
      </c>
      <c r="B835" s="120" t="s">
        <v>1737</v>
      </c>
    </row>
    <row r="836" spans="1:2" x14ac:dyDescent="0.25">
      <c r="A836" s="120">
        <v>34665</v>
      </c>
      <c r="B836" s="120" t="s">
        <v>1738</v>
      </c>
    </row>
    <row r="837" spans="1:2" x14ac:dyDescent="0.25">
      <c r="A837" s="120">
        <v>34666</v>
      </c>
      <c r="B837" s="120" t="s">
        <v>1739</v>
      </c>
    </row>
    <row r="838" spans="1:2" x14ac:dyDescent="0.25">
      <c r="A838" s="120">
        <v>34667</v>
      </c>
      <c r="B838" s="120" t="s">
        <v>1740</v>
      </c>
    </row>
    <row r="839" spans="1:2" ht="30" x14ac:dyDescent="0.25">
      <c r="A839" s="120">
        <v>34668</v>
      </c>
      <c r="B839" s="120" t="s">
        <v>1741</v>
      </c>
    </row>
    <row r="840" spans="1:2" x14ac:dyDescent="0.25">
      <c r="A840" s="120">
        <v>34710</v>
      </c>
      <c r="B840" s="120" t="s">
        <v>1742</v>
      </c>
    </row>
    <row r="841" spans="1:2" x14ac:dyDescent="0.25">
      <c r="A841" s="120">
        <v>34711</v>
      </c>
      <c r="B841" s="120" t="s">
        <v>1743</v>
      </c>
    </row>
    <row r="842" spans="1:2" x14ac:dyDescent="0.25">
      <c r="A842" s="120">
        <v>34818</v>
      </c>
      <c r="B842" s="120" t="s">
        <v>1744</v>
      </c>
    </row>
    <row r="843" spans="1:2" x14ac:dyDescent="0.25">
      <c r="A843" s="120">
        <v>34820</v>
      </c>
      <c r="B843" s="120" t="s">
        <v>1745</v>
      </c>
    </row>
    <row r="844" spans="1:2" x14ac:dyDescent="0.25">
      <c r="A844" s="120">
        <v>34865</v>
      </c>
      <c r="B844" s="120" t="s">
        <v>1746</v>
      </c>
    </row>
    <row r="845" spans="1:2" x14ac:dyDescent="0.25">
      <c r="A845" s="120">
        <v>34866</v>
      </c>
      <c r="B845" s="120" t="s">
        <v>1747</v>
      </c>
    </row>
    <row r="846" spans="1:2" ht="30" x14ac:dyDescent="0.25">
      <c r="A846" s="120">
        <v>34885</v>
      </c>
      <c r="B846" s="120" t="s">
        <v>1748</v>
      </c>
    </row>
    <row r="847" spans="1:2" ht="30" x14ac:dyDescent="0.25">
      <c r="A847" s="120">
        <v>34886</v>
      </c>
      <c r="B847" s="120" t="s">
        <v>1749</v>
      </c>
    </row>
    <row r="848" spans="1:2" x14ac:dyDescent="0.25">
      <c r="A848" s="120">
        <v>34908</v>
      </c>
      <c r="B848" s="120" t="s">
        <v>1750</v>
      </c>
    </row>
    <row r="849" spans="1:2" x14ac:dyDescent="0.25">
      <c r="A849" s="120">
        <v>34929</v>
      </c>
      <c r="B849" s="120" t="s">
        <v>1751</v>
      </c>
    </row>
    <row r="850" spans="1:2" x14ac:dyDescent="0.25">
      <c r="A850" s="120">
        <v>34930</v>
      </c>
      <c r="B850" s="120" t="s">
        <v>1752</v>
      </c>
    </row>
    <row r="851" spans="1:2" x14ac:dyDescent="0.25">
      <c r="A851" s="120">
        <v>34935</v>
      </c>
      <c r="B851" s="120" t="s">
        <v>1753</v>
      </c>
    </row>
    <row r="852" spans="1:2" x14ac:dyDescent="0.25">
      <c r="A852" s="120">
        <v>34940</v>
      </c>
      <c r="B852" s="120" t="s">
        <v>1754</v>
      </c>
    </row>
    <row r="853" spans="1:2" x14ac:dyDescent="0.25">
      <c r="A853" s="120">
        <v>34941</v>
      </c>
      <c r="B853" s="120" t="s">
        <v>1755</v>
      </c>
    </row>
    <row r="854" spans="1:2" x14ac:dyDescent="0.25">
      <c r="A854" s="120">
        <v>34946</v>
      </c>
      <c r="B854" s="120" t="s">
        <v>1756</v>
      </c>
    </row>
    <row r="855" spans="1:2" x14ac:dyDescent="0.25">
      <c r="A855" s="120">
        <v>34949</v>
      </c>
      <c r="B855" s="120" t="s">
        <v>1757</v>
      </c>
    </row>
    <row r="856" spans="1:2" x14ac:dyDescent="0.25">
      <c r="A856" s="120">
        <v>34962</v>
      </c>
      <c r="B856" s="120" t="s">
        <v>1758</v>
      </c>
    </row>
    <row r="857" spans="1:2" x14ac:dyDescent="0.25">
      <c r="A857" s="120">
        <v>35001</v>
      </c>
      <c r="B857" s="120" t="s">
        <v>1759</v>
      </c>
    </row>
    <row r="858" spans="1:2" x14ac:dyDescent="0.25">
      <c r="A858" s="120">
        <v>35002</v>
      </c>
      <c r="B858" s="120" t="s">
        <v>1760</v>
      </c>
    </row>
    <row r="859" spans="1:2" x14ac:dyDescent="0.25">
      <c r="A859" s="120">
        <v>35003</v>
      </c>
      <c r="B859" s="120" t="s">
        <v>1761</v>
      </c>
    </row>
    <row r="860" spans="1:2" x14ac:dyDescent="0.25">
      <c r="A860" s="120">
        <v>35004</v>
      </c>
      <c r="B860" s="120" t="s">
        <v>1762</v>
      </c>
    </row>
    <row r="861" spans="1:2" x14ac:dyDescent="0.25">
      <c r="A861" s="120">
        <v>35005</v>
      </c>
      <c r="B861" s="120" t="s">
        <v>1763</v>
      </c>
    </row>
    <row r="862" spans="1:2" x14ac:dyDescent="0.25">
      <c r="A862" s="120">
        <v>35006</v>
      </c>
      <c r="B862" s="120" t="s">
        <v>1764</v>
      </c>
    </row>
    <row r="863" spans="1:2" x14ac:dyDescent="0.25">
      <c r="A863" s="120">
        <v>35007</v>
      </c>
      <c r="B863" s="120" t="s">
        <v>1765</v>
      </c>
    </row>
    <row r="864" spans="1:2" x14ac:dyDescent="0.25">
      <c r="A864" s="120">
        <v>35008</v>
      </c>
      <c r="B864" s="120" t="s">
        <v>1766</v>
      </c>
    </row>
    <row r="865" spans="1:2" x14ac:dyDescent="0.25">
      <c r="A865" s="120">
        <v>35009</v>
      </c>
      <c r="B865" s="120" t="s">
        <v>1767</v>
      </c>
    </row>
    <row r="866" spans="1:2" x14ac:dyDescent="0.25">
      <c r="A866" s="120">
        <v>35010</v>
      </c>
      <c r="B866" s="120" t="s">
        <v>1768</v>
      </c>
    </row>
    <row r="867" spans="1:2" x14ac:dyDescent="0.25">
      <c r="A867" s="120">
        <v>35011</v>
      </c>
      <c r="B867" s="120" t="s">
        <v>1769</v>
      </c>
    </row>
    <row r="868" spans="1:2" x14ac:dyDescent="0.25">
      <c r="A868" s="120">
        <v>35012</v>
      </c>
      <c r="B868" s="120" t="s">
        <v>1770</v>
      </c>
    </row>
    <row r="869" spans="1:2" x14ac:dyDescent="0.25">
      <c r="A869" s="120">
        <v>35013</v>
      </c>
      <c r="B869" s="120" t="s">
        <v>1771</v>
      </c>
    </row>
    <row r="870" spans="1:2" x14ac:dyDescent="0.25">
      <c r="A870" s="120">
        <v>35014</v>
      </c>
      <c r="B870" s="120" t="s">
        <v>1772</v>
      </c>
    </row>
    <row r="871" spans="1:2" x14ac:dyDescent="0.25">
      <c r="A871" s="120">
        <v>35015</v>
      </c>
      <c r="B871" s="120" t="s">
        <v>1773</v>
      </c>
    </row>
    <row r="872" spans="1:2" x14ac:dyDescent="0.25">
      <c r="A872" s="120">
        <v>35016</v>
      </c>
      <c r="B872" s="120" t="s">
        <v>1774</v>
      </c>
    </row>
    <row r="873" spans="1:2" x14ac:dyDescent="0.25">
      <c r="A873" s="120">
        <v>35017</v>
      </c>
      <c r="B873" s="120" t="s">
        <v>1775</v>
      </c>
    </row>
    <row r="874" spans="1:2" x14ac:dyDescent="0.25">
      <c r="A874" s="120">
        <v>35018</v>
      </c>
      <c r="B874" s="120" t="s">
        <v>1776</v>
      </c>
    </row>
    <row r="875" spans="1:2" x14ac:dyDescent="0.25">
      <c r="A875" s="120">
        <v>35019</v>
      </c>
      <c r="B875" s="120" t="s">
        <v>1777</v>
      </c>
    </row>
    <row r="876" spans="1:2" x14ac:dyDescent="0.25">
      <c r="A876" s="120">
        <v>35047</v>
      </c>
      <c r="B876" s="120" t="s">
        <v>1778</v>
      </c>
    </row>
    <row r="877" spans="1:2" x14ac:dyDescent="0.25">
      <c r="A877" s="120">
        <v>35048</v>
      </c>
      <c r="B877" s="120" t="s">
        <v>1779</v>
      </c>
    </row>
    <row r="878" spans="1:2" x14ac:dyDescent="0.25">
      <c r="A878" s="120">
        <v>35049</v>
      </c>
      <c r="B878" s="120" t="s">
        <v>1780</v>
      </c>
    </row>
    <row r="879" spans="1:2" x14ac:dyDescent="0.25">
      <c r="A879" s="120">
        <v>35050</v>
      </c>
      <c r="B879" s="120" t="s">
        <v>1781</v>
      </c>
    </row>
    <row r="880" spans="1:2" x14ac:dyDescent="0.25">
      <c r="A880" s="120">
        <v>35051</v>
      </c>
      <c r="B880" s="120" t="s">
        <v>1782</v>
      </c>
    </row>
    <row r="881" spans="1:2" x14ac:dyDescent="0.25">
      <c r="A881" s="120">
        <v>35060</v>
      </c>
      <c r="B881" s="120" t="s">
        <v>1783</v>
      </c>
    </row>
    <row r="882" spans="1:2" x14ac:dyDescent="0.25">
      <c r="A882" s="120">
        <v>35063</v>
      </c>
      <c r="B882" s="120" t="s">
        <v>1784</v>
      </c>
    </row>
    <row r="883" spans="1:2" x14ac:dyDescent="0.25">
      <c r="A883" s="120">
        <v>35128</v>
      </c>
      <c r="B883" s="120" t="s">
        <v>1785</v>
      </c>
    </row>
    <row r="884" spans="1:2" x14ac:dyDescent="0.25">
      <c r="A884" s="120">
        <v>35132</v>
      </c>
      <c r="B884" s="120" t="s">
        <v>1786</v>
      </c>
    </row>
    <row r="885" spans="1:2" ht="30" x14ac:dyDescent="0.25">
      <c r="A885" s="120">
        <v>35300</v>
      </c>
      <c r="B885" s="120" t="s">
        <v>1787</v>
      </c>
    </row>
    <row r="886" spans="1:2" x14ac:dyDescent="0.25">
      <c r="A886" s="120">
        <v>35301</v>
      </c>
      <c r="B886" s="120" t="s">
        <v>1788</v>
      </c>
    </row>
    <row r="887" spans="1:2" x14ac:dyDescent="0.25">
      <c r="A887" s="120">
        <v>35302</v>
      </c>
      <c r="B887" s="120" t="s">
        <v>1789</v>
      </c>
    </row>
    <row r="888" spans="1:2" x14ac:dyDescent="0.25">
      <c r="A888" s="120">
        <v>35303</v>
      </c>
      <c r="B888" s="120" t="s">
        <v>1790</v>
      </c>
    </row>
    <row r="889" spans="1:2" x14ac:dyDescent="0.25">
      <c r="A889" s="120">
        <v>35367</v>
      </c>
      <c r="B889" s="120" t="s">
        <v>1791</v>
      </c>
    </row>
    <row r="890" spans="1:2" x14ac:dyDescent="0.25">
      <c r="A890" s="120">
        <v>35438</v>
      </c>
      <c r="B890" s="120" t="s">
        <v>1792</v>
      </c>
    </row>
    <row r="891" spans="1:2" ht="30" x14ac:dyDescent="0.25">
      <c r="A891" s="120">
        <v>35440</v>
      </c>
      <c r="B891" s="120" t="s">
        <v>1793</v>
      </c>
    </row>
    <row r="892" spans="1:2" x14ac:dyDescent="0.25">
      <c r="A892" s="120">
        <v>35441</v>
      </c>
      <c r="B892" s="120" t="s">
        <v>1794</v>
      </c>
    </row>
    <row r="893" spans="1:2" x14ac:dyDescent="0.25">
      <c r="A893" s="120">
        <v>35442</v>
      </c>
      <c r="B893" s="120" t="s">
        <v>1795</v>
      </c>
    </row>
    <row r="894" spans="1:2" x14ac:dyDescent="0.25">
      <c r="A894" s="120">
        <v>35536</v>
      </c>
      <c r="B894" s="120" t="s">
        <v>1796</v>
      </c>
    </row>
    <row r="895" spans="1:2" x14ac:dyDescent="0.25">
      <c r="A895" s="120">
        <v>35557</v>
      </c>
      <c r="B895" s="120" t="s">
        <v>1797</v>
      </c>
    </row>
    <row r="896" spans="1:2" x14ac:dyDescent="0.25">
      <c r="A896" s="120">
        <v>35571</v>
      </c>
      <c r="B896" s="120" t="s">
        <v>1798</v>
      </c>
    </row>
    <row r="897" spans="1:2" x14ac:dyDescent="0.25">
      <c r="A897" s="120">
        <v>35621</v>
      </c>
      <c r="B897" s="120" t="s">
        <v>1799</v>
      </c>
    </row>
    <row r="898" spans="1:2" x14ac:dyDescent="0.25">
      <c r="A898" s="120">
        <v>35622</v>
      </c>
      <c r="B898" s="120" t="s">
        <v>1800</v>
      </c>
    </row>
    <row r="899" spans="1:2" x14ac:dyDescent="0.25">
      <c r="A899" s="120">
        <v>35623</v>
      </c>
      <c r="B899" s="120" t="s">
        <v>1801</v>
      </c>
    </row>
    <row r="900" spans="1:2" ht="30" x14ac:dyDescent="0.25">
      <c r="A900" s="120">
        <v>35672</v>
      </c>
      <c r="B900" s="120" t="s">
        <v>1802</v>
      </c>
    </row>
    <row r="901" spans="1:2" x14ac:dyDescent="0.25">
      <c r="A901" s="120">
        <v>35673</v>
      </c>
      <c r="B901" s="120" t="s">
        <v>1803</v>
      </c>
    </row>
    <row r="902" spans="1:2" x14ac:dyDescent="0.25">
      <c r="A902" s="120">
        <v>35674</v>
      </c>
      <c r="B902" s="120" t="s">
        <v>1804</v>
      </c>
    </row>
    <row r="903" spans="1:2" x14ac:dyDescent="0.25">
      <c r="A903" s="120">
        <v>35675</v>
      </c>
      <c r="B903" s="120" t="s">
        <v>1805</v>
      </c>
    </row>
    <row r="904" spans="1:2" x14ac:dyDescent="0.25">
      <c r="A904" s="120">
        <v>35730</v>
      </c>
      <c r="B904" s="120" t="s">
        <v>1806</v>
      </c>
    </row>
    <row r="905" spans="1:2" ht="30" x14ac:dyDescent="0.25">
      <c r="A905" s="120">
        <v>35774</v>
      </c>
      <c r="B905" s="120" t="s">
        <v>1807</v>
      </c>
    </row>
    <row r="906" spans="1:2" x14ac:dyDescent="0.25">
      <c r="A906" s="120">
        <v>35790</v>
      </c>
      <c r="B906" s="120" t="s">
        <v>1808</v>
      </c>
    </row>
    <row r="907" spans="1:2" x14ac:dyDescent="0.25">
      <c r="A907" s="120">
        <v>35869</v>
      </c>
      <c r="B907" s="120" t="s">
        <v>1809</v>
      </c>
    </row>
    <row r="908" spans="1:2" x14ac:dyDescent="0.25">
      <c r="A908" s="120">
        <v>35872</v>
      </c>
      <c r="B908" s="120" t="s">
        <v>1810</v>
      </c>
    </row>
    <row r="909" spans="1:2" x14ac:dyDescent="0.25">
      <c r="A909" s="120">
        <v>35884</v>
      </c>
      <c r="B909" s="120" t="s">
        <v>1811</v>
      </c>
    </row>
    <row r="910" spans="1:2" x14ac:dyDescent="0.25">
      <c r="A910" s="120">
        <v>35888</v>
      </c>
      <c r="B910" s="120" t="s">
        <v>1812</v>
      </c>
    </row>
    <row r="911" spans="1:2" x14ac:dyDescent="0.25">
      <c r="A911" s="120">
        <v>35889</v>
      </c>
      <c r="B911" s="120" t="s">
        <v>1813</v>
      </c>
    </row>
    <row r="912" spans="1:2" x14ac:dyDescent="0.25">
      <c r="A912" s="120">
        <v>35890</v>
      </c>
      <c r="B912" s="120" t="s">
        <v>1814</v>
      </c>
    </row>
    <row r="913" spans="1:2" x14ac:dyDescent="0.25">
      <c r="A913" s="120">
        <v>35891</v>
      </c>
      <c r="B913" s="120" t="s">
        <v>1815</v>
      </c>
    </row>
    <row r="914" spans="1:2" x14ac:dyDescent="0.25">
      <c r="A914" s="120">
        <v>35892</v>
      </c>
      <c r="B914" s="120" t="s">
        <v>1816</v>
      </c>
    </row>
    <row r="915" spans="1:2" x14ac:dyDescent="0.25">
      <c r="A915" s="120">
        <v>35893</v>
      </c>
      <c r="B915" s="120" t="s">
        <v>1817</v>
      </c>
    </row>
    <row r="916" spans="1:2" x14ac:dyDescent="0.25">
      <c r="A916" s="120">
        <v>35894</v>
      </c>
      <c r="B916" s="120" t="s">
        <v>1818</v>
      </c>
    </row>
    <row r="917" spans="1:2" x14ac:dyDescent="0.25">
      <c r="A917" s="120">
        <v>35895</v>
      </c>
      <c r="B917" s="120" t="s">
        <v>1819</v>
      </c>
    </row>
    <row r="918" spans="1:2" x14ac:dyDescent="0.25">
      <c r="A918" s="120">
        <v>35896</v>
      </c>
      <c r="B918" s="120" t="s">
        <v>1820</v>
      </c>
    </row>
    <row r="919" spans="1:2" x14ac:dyDescent="0.25">
      <c r="A919" s="120">
        <v>35897</v>
      </c>
      <c r="B919" s="120" t="s">
        <v>1821</v>
      </c>
    </row>
    <row r="920" spans="1:2" ht="30" x14ac:dyDescent="0.25">
      <c r="A920" s="120">
        <v>35963</v>
      </c>
      <c r="B920" s="120" t="s">
        <v>1822</v>
      </c>
    </row>
    <row r="921" spans="1:2" x14ac:dyDescent="0.25">
      <c r="A921" s="120">
        <v>38382</v>
      </c>
      <c r="B921" s="120" t="s">
        <v>1823</v>
      </c>
    </row>
    <row r="922" spans="1:2" x14ac:dyDescent="0.25">
      <c r="A922" s="120">
        <v>38458</v>
      </c>
      <c r="B922" s="120" t="s">
        <v>1824</v>
      </c>
    </row>
    <row r="923" spans="1:2" x14ac:dyDescent="0.25">
      <c r="A923" s="120">
        <v>38782</v>
      </c>
      <c r="B923" s="120" t="s">
        <v>1825</v>
      </c>
    </row>
    <row r="924" spans="1:2" x14ac:dyDescent="0.25">
      <c r="A924" s="120">
        <v>74636</v>
      </c>
      <c r="B924" s="120" t="s">
        <v>1826</v>
      </c>
    </row>
    <row r="925" spans="1:2" x14ac:dyDescent="0.25">
      <c r="A925" s="120">
        <v>75115</v>
      </c>
      <c r="B925" s="120" t="s">
        <v>1827</v>
      </c>
    </row>
    <row r="926" spans="1:2" x14ac:dyDescent="0.25">
      <c r="A926" s="120">
        <v>82001</v>
      </c>
      <c r="B926" s="120" t="s">
        <v>1828</v>
      </c>
    </row>
    <row r="927" spans="1:2" x14ac:dyDescent="0.25">
      <c r="A927" s="120">
        <v>82005</v>
      </c>
      <c r="B927" s="120" t="s">
        <v>1829</v>
      </c>
    </row>
    <row r="928" spans="1:2" x14ac:dyDescent="0.25">
      <c r="A928" s="120">
        <v>82501</v>
      </c>
      <c r="B928" s="120" t="s">
        <v>1830</v>
      </c>
    </row>
    <row r="929" spans="1:2" x14ac:dyDescent="0.25">
      <c r="A929" s="120">
        <v>82505</v>
      </c>
      <c r="B929" s="120" t="s">
        <v>1831</v>
      </c>
    </row>
    <row r="930" spans="1:2" x14ac:dyDescent="0.25">
      <c r="A930" s="120">
        <v>83001</v>
      </c>
      <c r="B930" s="120" t="s">
        <v>1832</v>
      </c>
    </row>
    <row r="931" spans="1:2" x14ac:dyDescent="0.25">
      <c r="A931" s="120">
        <v>83002</v>
      </c>
      <c r="B931" s="120" t="s">
        <v>1833</v>
      </c>
    </row>
    <row r="932" spans="1:2" x14ac:dyDescent="0.25">
      <c r="A932" s="120">
        <v>83003</v>
      </c>
      <c r="B932" s="120" t="s">
        <v>1834</v>
      </c>
    </row>
    <row r="933" spans="1:2" x14ac:dyDescent="0.25">
      <c r="A933" s="120">
        <v>83005</v>
      </c>
      <c r="B933" s="120" t="s">
        <v>1835</v>
      </c>
    </row>
    <row r="934" spans="1:2" x14ac:dyDescent="0.25">
      <c r="A934" s="120">
        <v>83501</v>
      </c>
      <c r="B934" s="120" t="s">
        <v>1836</v>
      </c>
    </row>
    <row r="935" spans="1:2" x14ac:dyDescent="0.25">
      <c r="A935" s="120">
        <v>83505</v>
      </c>
      <c r="B935" s="120" t="s">
        <v>1837</v>
      </c>
    </row>
    <row r="936" spans="1:2" x14ac:dyDescent="0.25">
      <c r="A936" s="120">
        <v>83961</v>
      </c>
      <c r="B936" s="120" t="s">
        <v>1838</v>
      </c>
    </row>
    <row r="937" spans="1:2" x14ac:dyDescent="0.25">
      <c r="A937" s="120">
        <v>84001</v>
      </c>
      <c r="B937" s="120" t="s">
        <v>1839</v>
      </c>
    </row>
    <row r="938" spans="1:2" x14ac:dyDescent="0.25">
      <c r="A938" s="120">
        <v>84005</v>
      </c>
      <c r="B938" s="120" t="s">
        <v>1840</v>
      </c>
    </row>
    <row r="939" spans="1:2" x14ac:dyDescent="0.25">
      <c r="A939" s="120">
        <v>84501</v>
      </c>
      <c r="B939" s="120" t="s">
        <v>1841</v>
      </c>
    </row>
    <row r="940" spans="1:2" x14ac:dyDescent="0.25">
      <c r="A940" s="120">
        <v>84505</v>
      </c>
      <c r="B940" s="120" t="s">
        <v>1842</v>
      </c>
    </row>
    <row r="941" spans="1:2" x14ac:dyDescent="0.25">
      <c r="A941" s="120">
        <v>85001</v>
      </c>
      <c r="B941" s="120" t="s">
        <v>1843</v>
      </c>
    </row>
    <row r="942" spans="1:2" x14ac:dyDescent="0.25">
      <c r="A942" s="120">
        <v>85005</v>
      </c>
      <c r="B942" s="120" t="s">
        <v>1844</v>
      </c>
    </row>
    <row r="943" spans="1:2" x14ac:dyDescent="0.25">
      <c r="A943" s="120">
        <v>85501</v>
      </c>
      <c r="B943" s="120" t="s">
        <v>1845</v>
      </c>
    </row>
    <row r="944" spans="1:2" x14ac:dyDescent="0.25">
      <c r="A944" s="120">
        <v>85505</v>
      </c>
      <c r="B944" s="120" t="s">
        <v>1846</v>
      </c>
    </row>
    <row r="945" spans="1:2" x14ac:dyDescent="0.25">
      <c r="A945" s="120">
        <v>86001</v>
      </c>
      <c r="B945" s="120" t="s">
        <v>1847</v>
      </c>
    </row>
    <row r="946" spans="1:2" x14ac:dyDescent="0.25">
      <c r="A946" s="120">
        <v>86002</v>
      </c>
      <c r="B946" s="120" t="s">
        <v>1848</v>
      </c>
    </row>
    <row r="947" spans="1:2" x14ac:dyDescent="0.25">
      <c r="A947" s="120">
        <v>86005</v>
      </c>
      <c r="B947" s="120" t="s">
        <v>1849</v>
      </c>
    </row>
    <row r="948" spans="1:2" x14ac:dyDescent="0.25">
      <c r="A948" s="120">
        <v>86501</v>
      </c>
      <c r="B948" s="120" t="s">
        <v>1850</v>
      </c>
    </row>
    <row r="949" spans="1:2" x14ac:dyDescent="0.25">
      <c r="A949" s="120">
        <v>86505</v>
      </c>
      <c r="B949" s="120" t="s">
        <v>1851</v>
      </c>
    </row>
    <row r="950" spans="1:2" x14ac:dyDescent="0.25">
      <c r="A950" s="120">
        <v>86958</v>
      </c>
      <c r="B950" s="120" t="s">
        <v>1852</v>
      </c>
    </row>
    <row r="951" spans="1:2" x14ac:dyDescent="0.25">
      <c r="A951" s="120">
        <v>87001</v>
      </c>
      <c r="B951" s="120" t="s">
        <v>1853</v>
      </c>
    </row>
    <row r="952" spans="1:2" x14ac:dyDescent="0.25">
      <c r="A952" s="120">
        <v>87005</v>
      </c>
      <c r="B952" s="120" t="s">
        <v>1854</v>
      </c>
    </row>
    <row r="953" spans="1:2" x14ac:dyDescent="0.25">
      <c r="A953" s="120">
        <v>87501</v>
      </c>
      <c r="B953" s="120" t="s">
        <v>1855</v>
      </c>
    </row>
    <row r="954" spans="1:2" x14ac:dyDescent="0.25">
      <c r="A954" s="120">
        <v>87505</v>
      </c>
      <c r="B954" s="120" t="s">
        <v>1856</v>
      </c>
    </row>
    <row r="955" spans="1:2" x14ac:dyDescent="0.25">
      <c r="A955" s="120">
        <v>88001</v>
      </c>
      <c r="B955" s="120" t="s">
        <v>1857</v>
      </c>
    </row>
    <row r="956" spans="1:2" x14ac:dyDescent="0.25">
      <c r="A956" s="120">
        <v>88005</v>
      </c>
      <c r="B956" s="120" t="s">
        <v>1858</v>
      </c>
    </row>
    <row r="957" spans="1:2" x14ac:dyDescent="0.25">
      <c r="A957" s="120">
        <v>88501</v>
      </c>
      <c r="B957" s="120" t="s">
        <v>1859</v>
      </c>
    </row>
    <row r="958" spans="1:2" x14ac:dyDescent="0.25">
      <c r="A958" s="120">
        <v>88505</v>
      </c>
      <c r="B958" s="120" t="s">
        <v>1860</v>
      </c>
    </row>
    <row r="959" spans="1:2" x14ac:dyDescent="0.25">
      <c r="A959" s="120">
        <v>89001</v>
      </c>
      <c r="B959" s="120" t="s">
        <v>1861</v>
      </c>
    </row>
    <row r="960" spans="1:2" x14ac:dyDescent="0.25">
      <c r="A960" s="120">
        <v>89002</v>
      </c>
      <c r="B960" s="120" t="s">
        <v>1862</v>
      </c>
    </row>
    <row r="961" spans="1:2" x14ac:dyDescent="0.25">
      <c r="A961" s="120">
        <v>89003</v>
      </c>
      <c r="B961" s="120" t="s">
        <v>1863</v>
      </c>
    </row>
    <row r="962" spans="1:2" x14ac:dyDescent="0.25">
      <c r="A962" s="120">
        <v>89004</v>
      </c>
      <c r="B962" s="120" t="s">
        <v>1864</v>
      </c>
    </row>
    <row r="963" spans="1:2" x14ac:dyDescent="0.25">
      <c r="A963" s="120">
        <v>89005</v>
      </c>
      <c r="B963" s="120" t="s">
        <v>1865</v>
      </c>
    </row>
    <row r="964" spans="1:2" x14ac:dyDescent="0.25">
      <c r="A964" s="120">
        <v>89006</v>
      </c>
      <c r="B964" s="120" t="s">
        <v>1866</v>
      </c>
    </row>
    <row r="965" spans="1:2" x14ac:dyDescent="0.25">
      <c r="A965" s="120">
        <v>89007</v>
      </c>
      <c r="B965" s="120" t="s">
        <v>1867</v>
      </c>
    </row>
    <row r="966" spans="1:2" x14ac:dyDescent="0.25">
      <c r="A966" s="120">
        <v>89008</v>
      </c>
      <c r="B966" s="120" t="s">
        <v>1868</v>
      </c>
    </row>
    <row r="967" spans="1:2" x14ac:dyDescent="0.25">
      <c r="A967" s="120">
        <v>89009</v>
      </c>
      <c r="B967" s="120" t="s">
        <v>1869</v>
      </c>
    </row>
    <row r="968" spans="1:2" x14ac:dyDescent="0.25">
      <c r="A968" s="120">
        <v>89010</v>
      </c>
      <c r="B968" s="120" t="s">
        <v>1870</v>
      </c>
    </row>
    <row r="969" spans="1:2" x14ac:dyDescent="0.25">
      <c r="A969" s="120">
        <v>89011</v>
      </c>
      <c r="B969" s="120" t="s">
        <v>1871</v>
      </c>
    </row>
    <row r="970" spans="1:2" x14ac:dyDescent="0.25">
      <c r="A970" s="120">
        <v>89012</v>
      </c>
      <c r="B970" s="120" t="s">
        <v>1872</v>
      </c>
    </row>
    <row r="971" spans="1:2" x14ac:dyDescent="0.25">
      <c r="A971" s="120">
        <v>89013</v>
      </c>
      <c r="B971" s="120" t="s">
        <v>1873</v>
      </c>
    </row>
    <row r="972" spans="1:2" x14ac:dyDescent="0.25">
      <c r="A972" s="120">
        <v>89014</v>
      </c>
      <c r="B972" s="120" t="s">
        <v>1874</v>
      </c>
    </row>
    <row r="973" spans="1:2" x14ac:dyDescent="0.25">
      <c r="A973" s="120">
        <v>89015</v>
      </c>
      <c r="B973" s="120" t="s">
        <v>1875</v>
      </c>
    </row>
    <row r="974" spans="1:2" x14ac:dyDescent="0.25">
      <c r="A974" s="120">
        <v>89016</v>
      </c>
      <c r="B974" s="120" t="s">
        <v>1876</v>
      </c>
    </row>
    <row r="975" spans="1:2" x14ac:dyDescent="0.25">
      <c r="A975" s="120">
        <v>89017</v>
      </c>
      <c r="B975" s="120" t="s">
        <v>1877</v>
      </c>
    </row>
    <row r="976" spans="1:2" x14ac:dyDescent="0.25">
      <c r="A976" s="120">
        <v>89018</v>
      </c>
      <c r="B976" s="120" t="s">
        <v>1878</v>
      </c>
    </row>
    <row r="977" spans="1:2" x14ac:dyDescent="0.25">
      <c r="A977" s="120">
        <v>89019</v>
      </c>
      <c r="B977" s="120" t="s">
        <v>1879</v>
      </c>
    </row>
    <row r="978" spans="1:2" x14ac:dyDescent="0.25">
      <c r="A978" s="120">
        <v>89020</v>
      </c>
      <c r="B978" s="120" t="s">
        <v>1880</v>
      </c>
    </row>
    <row r="979" spans="1:2" x14ac:dyDescent="0.25">
      <c r="A979" s="120">
        <v>89021</v>
      </c>
      <c r="B979" s="120" t="s">
        <v>1881</v>
      </c>
    </row>
    <row r="980" spans="1:2" x14ac:dyDescent="0.25">
      <c r="A980" s="120">
        <v>89022</v>
      </c>
      <c r="B980" s="120" t="s">
        <v>1882</v>
      </c>
    </row>
    <row r="981" spans="1:2" x14ac:dyDescent="0.25">
      <c r="A981" s="120">
        <v>89023</v>
      </c>
      <c r="B981" s="120" t="s">
        <v>1883</v>
      </c>
    </row>
    <row r="982" spans="1:2" x14ac:dyDescent="0.25">
      <c r="A982" s="120">
        <v>89024</v>
      </c>
      <c r="B982" s="120" t="s">
        <v>1884</v>
      </c>
    </row>
    <row r="983" spans="1:2" x14ac:dyDescent="0.25">
      <c r="A983" s="120">
        <v>89025</v>
      </c>
      <c r="B983" s="120" t="s">
        <v>1885</v>
      </c>
    </row>
    <row r="984" spans="1:2" x14ac:dyDescent="0.25">
      <c r="A984" s="120">
        <v>89026</v>
      </c>
      <c r="B984" s="120" t="s">
        <v>1886</v>
      </c>
    </row>
    <row r="985" spans="1:2" x14ac:dyDescent="0.25">
      <c r="A985" s="120">
        <v>89027</v>
      </c>
      <c r="B985" s="120" t="s">
        <v>1887</v>
      </c>
    </row>
    <row r="986" spans="1:2" x14ac:dyDescent="0.25">
      <c r="A986" s="120">
        <v>89028</v>
      </c>
      <c r="B986" s="120" t="s">
        <v>1888</v>
      </c>
    </row>
    <row r="987" spans="1:2" x14ac:dyDescent="0.25">
      <c r="A987" s="120">
        <v>89029</v>
      </c>
      <c r="B987" s="120" t="s">
        <v>1889</v>
      </c>
    </row>
    <row r="988" spans="1:2" x14ac:dyDescent="0.25">
      <c r="A988" s="120">
        <v>89030</v>
      </c>
      <c r="B988" s="120" t="s">
        <v>1890</v>
      </c>
    </row>
    <row r="989" spans="1:2" x14ac:dyDescent="0.25">
      <c r="A989" s="120">
        <v>89031</v>
      </c>
      <c r="B989" s="120" t="s">
        <v>1891</v>
      </c>
    </row>
    <row r="990" spans="1:2" x14ac:dyDescent="0.25">
      <c r="A990" s="120">
        <v>89446</v>
      </c>
      <c r="B990" s="120" t="s">
        <v>1892</v>
      </c>
    </row>
    <row r="991" spans="1:2" x14ac:dyDescent="0.25">
      <c r="A991" s="120">
        <v>89447</v>
      </c>
      <c r="B991" s="120" t="s">
        <v>1893</v>
      </c>
    </row>
    <row r="992" spans="1:2" x14ac:dyDescent="0.25">
      <c r="A992" s="120">
        <v>89448</v>
      </c>
      <c r="B992" s="120" t="s">
        <v>1894</v>
      </c>
    </row>
    <row r="993" spans="1:2" x14ac:dyDescent="0.25">
      <c r="A993" s="120">
        <v>89449</v>
      </c>
      <c r="B993" s="120" t="s">
        <v>1895</v>
      </c>
    </row>
    <row r="994" spans="1:2" x14ac:dyDescent="0.25">
      <c r="A994" s="120">
        <v>89450</v>
      </c>
      <c r="B994" s="120" t="s">
        <v>1896</v>
      </c>
    </row>
    <row r="995" spans="1:2" x14ac:dyDescent="0.25">
      <c r="A995" s="120">
        <v>89501</v>
      </c>
      <c r="B995" s="120" t="s">
        <v>1897</v>
      </c>
    </row>
    <row r="996" spans="1:2" x14ac:dyDescent="0.25">
      <c r="A996" s="120">
        <v>89502</v>
      </c>
      <c r="B996" s="120" t="s">
        <v>1898</v>
      </c>
    </row>
    <row r="997" spans="1:2" x14ac:dyDescent="0.25">
      <c r="A997" s="120">
        <v>89503</v>
      </c>
      <c r="B997" s="120" t="s">
        <v>1899</v>
      </c>
    </row>
    <row r="998" spans="1:2" x14ac:dyDescent="0.25">
      <c r="A998" s="120">
        <v>89504</v>
      </c>
      <c r="B998" s="120" t="s">
        <v>1900</v>
      </c>
    </row>
    <row r="999" spans="1:2" x14ac:dyDescent="0.25">
      <c r="A999" s="120">
        <v>89505</v>
      </c>
      <c r="B999" s="120" t="s">
        <v>1901</v>
      </c>
    </row>
    <row r="1000" spans="1:2" x14ac:dyDescent="0.25">
      <c r="A1000" s="120">
        <v>89506</v>
      </c>
      <c r="B1000" s="120" t="s">
        <v>1902</v>
      </c>
    </row>
    <row r="1001" spans="1:2" x14ac:dyDescent="0.25">
      <c r="A1001" s="120">
        <v>89507</v>
      </c>
      <c r="B1001" s="120" t="s">
        <v>1903</v>
      </c>
    </row>
    <row r="1002" spans="1:2" x14ac:dyDescent="0.25">
      <c r="A1002" s="120">
        <v>89508</v>
      </c>
      <c r="B1002" s="120" t="s">
        <v>1904</v>
      </c>
    </row>
    <row r="1003" spans="1:2" x14ac:dyDescent="0.25">
      <c r="A1003" s="120">
        <v>89509</v>
      </c>
      <c r="B1003" s="120" t="s">
        <v>1905</v>
      </c>
    </row>
    <row r="1004" spans="1:2" x14ac:dyDescent="0.25">
      <c r="A1004" s="120">
        <v>89510</v>
      </c>
      <c r="B1004" s="120" t="s">
        <v>1906</v>
      </c>
    </row>
    <row r="1005" spans="1:2" x14ac:dyDescent="0.25">
      <c r="A1005" s="120">
        <v>89511</v>
      </c>
      <c r="B1005" s="120" t="s">
        <v>1907</v>
      </c>
    </row>
    <row r="1006" spans="1:2" x14ac:dyDescent="0.25">
      <c r="A1006" s="120">
        <v>89512</v>
      </c>
      <c r="B1006" s="120" t="s">
        <v>1908</v>
      </c>
    </row>
    <row r="1007" spans="1:2" x14ac:dyDescent="0.25">
      <c r="A1007" s="120">
        <v>89513</v>
      </c>
      <c r="B1007" s="120" t="s">
        <v>1909</v>
      </c>
    </row>
    <row r="1008" spans="1:2" x14ac:dyDescent="0.25">
      <c r="A1008" s="120">
        <v>89514</v>
      </c>
      <c r="B1008" s="120" t="s">
        <v>1910</v>
      </c>
    </row>
    <row r="1009" spans="1:2" x14ac:dyDescent="0.25">
      <c r="A1009" s="120">
        <v>89515</v>
      </c>
      <c r="B1009" s="120" t="s">
        <v>1911</v>
      </c>
    </row>
    <row r="1010" spans="1:2" x14ac:dyDescent="0.25">
      <c r="A1010" s="120">
        <v>89516</v>
      </c>
      <c r="B1010" s="120" t="s">
        <v>1912</v>
      </c>
    </row>
    <row r="1011" spans="1:2" x14ac:dyDescent="0.25">
      <c r="A1011" s="120">
        <v>89517</v>
      </c>
      <c r="B1011" s="120" t="s">
        <v>1913</v>
      </c>
    </row>
    <row r="1012" spans="1:2" x14ac:dyDescent="0.25">
      <c r="A1012" s="120">
        <v>89518</v>
      </c>
      <c r="B1012" s="120" t="s">
        <v>1914</v>
      </c>
    </row>
    <row r="1013" spans="1:2" x14ac:dyDescent="0.25">
      <c r="A1013" s="120">
        <v>89905</v>
      </c>
      <c r="B1013" s="120" t="s">
        <v>1915</v>
      </c>
    </row>
    <row r="1014" spans="1:2" x14ac:dyDescent="0.25">
      <c r="A1014" s="120">
        <v>89906</v>
      </c>
      <c r="B1014" s="120" t="s">
        <v>1916</v>
      </c>
    </row>
    <row r="1015" spans="1:2" x14ac:dyDescent="0.25">
      <c r="A1015" s="120">
        <v>90001</v>
      </c>
      <c r="B1015" s="120" t="s">
        <v>1917</v>
      </c>
    </row>
    <row r="1016" spans="1:2" x14ac:dyDescent="0.25">
      <c r="A1016" s="120">
        <v>90102</v>
      </c>
      <c r="B1016" s="120" t="s">
        <v>1918</v>
      </c>
    </row>
    <row r="1017" spans="1:2" x14ac:dyDescent="0.25">
      <c r="A1017" s="120">
        <v>90103</v>
      </c>
      <c r="B1017" s="120" t="s">
        <v>1919</v>
      </c>
    </row>
    <row r="1018" spans="1:2" x14ac:dyDescent="0.25">
      <c r="A1018" s="120">
        <v>90104</v>
      </c>
      <c r="B1018" s="120" t="s">
        <v>1920</v>
      </c>
    </row>
    <row r="1019" spans="1:2" x14ac:dyDescent="0.25">
      <c r="A1019" s="120">
        <v>90105</v>
      </c>
      <c r="B1019" s="120" t="s">
        <v>1921</v>
      </c>
    </row>
    <row r="1020" spans="1:2" x14ac:dyDescent="0.25">
      <c r="A1020" s="120">
        <v>90106</v>
      </c>
      <c r="B1020" s="120" t="s">
        <v>1922</v>
      </c>
    </row>
    <row r="1021" spans="1:2" x14ac:dyDescent="0.25">
      <c r="A1021" s="120">
        <v>90190</v>
      </c>
      <c r="B1021" s="120" t="s">
        <v>1923</v>
      </c>
    </row>
    <row r="1022" spans="1:2" x14ac:dyDescent="0.25">
      <c r="A1022" s="120">
        <v>90445</v>
      </c>
      <c r="B1022" s="120" t="s">
        <v>1924</v>
      </c>
    </row>
    <row r="1023" spans="1:2" x14ac:dyDescent="0.25">
      <c r="A1023" s="120">
        <v>90578</v>
      </c>
      <c r="B1023" s="120" t="s">
        <v>1925</v>
      </c>
    </row>
    <row r="1024" spans="1:2" x14ac:dyDescent="0.25">
      <c r="A1024" s="120">
        <v>90725</v>
      </c>
      <c r="B1024" s="120" t="s">
        <v>1926</v>
      </c>
    </row>
    <row r="1025" spans="1:2" x14ac:dyDescent="0.25">
      <c r="A1025" s="120">
        <v>90776</v>
      </c>
      <c r="B1025" s="120" t="s">
        <v>1927</v>
      </c>
    </row>
    <row r="1026" spans="1:2" x14ac:dyDescent="0.25">
      <c r="A1026" s="120">
        <v>90877</v>
      </c>
      <c r="B1026" s="120" t="s">
        <v>1928</v>
      </c>
    </row>
    <row r="1027" spans="1:2" x14ac:dyDescent="0.25">
      <c r="A1027" s="120">
        <v>90909</v>
      </c>
      <c r="B1027" s="120" t="s">
        <v>1929</v>
      </c>
    </row>
    <row r="1028" spans="1:2" x14ac:dyDescent="0.25">
      <c r="A1028" s="120">
        <v>90959</v>
      </c>
      <c r="B1028" s="120" t="s">
        <v>1930</v>
      </c>
    </row>
    <row r="1029" spans="1:2" x14ac:dyDescent="0.25">
      <c r="A1029" s="120">
        <v>91252</v>
      </c>
      <c r="B1029" s="120" t="s">
        <v>1931</v>
      </c>
    </row>
    <row r="1030" spans="1:2" x14ac:dyDescent="0.25">
      <c r="A1030" s="120">
        <v>91628</v>
      </c>
      <c r="B1030" s="120" t="s">
        <v>1932</v>
      </c>
    </row>
    <row r="1031" spans="1:2" x14ac:dyDescent="0.25">
      <c r="A1031" s="120">
        <v>92001</v>
      </c>
      <c r="B1031" s="120" t="s">
        <v>1933</v>
      </c>
    </row>
    <row r="1032" spans="1:2" x14ac:dyDescent="0.25">
      <c r="A1032" s="120">
        <v>92241</v>
      </c>
      <c r="B1032" s="120" t="s">
        <v>1934</v>
      </c>
    </row>
    <row r="1033" spans="1:2" x14ac:dyDescent="0.25">
      <c r="A1033" s="120">
        <v>92242</v>
      </c>
      <c r="B1033" s="120" t="s">
        <v>1935</v>
      </c>
    </row>
    <row r="1034" spans="1:2" x14ac:dyDescent="0.25">
      <c r="A1034" s="120">
        <v>92358</v>
      </c>
      <c r="B1034" s="120" t="s">
        <v>1936</v>
      </c>
    </row>
    <row r="1035" spans="1:2" x14ac:dyDescent="0.25">
      <c r="A1035" s="120">
        <v>92459</v>
      </c>
      <c r="B1035" s="120" t="s">
        <v>1937</v>
      </c>
    </row>
    <row r="1036" spans="1:2" x14ac:dyDescent="0.25">
      <c r="A1036" s="120">
        <v>92467</v>
      </c>
      <c r="B1036" s="120" t="s">
        <v>1938</v>
      </c>
    </row>
    <row r="1037" spans="1:2" x14ac:dyDescent="0.25">
      <c r="A1037" s="120">
        <v>92559</v>
      </c>
      <c r="B1037" s="120" t="s">
        <v>1939</v>
      </c>
    </row>
    <row r="1038" spans="1:2" x14ac:dyDescent="0.25">
      <c r="A1038" s="120">
        <v>92560</v>
      </c>
      <c r="B1038" s="120" t="s">
        <v>1940</v>
      </c>
    </row>
    <row r="1039" spans="1:2" x14ac:dyDescent="0.25">
      <c r="A1039" s="120">
        <v>92660</v>
      </c>
      <c r="B1039" s="120" t="s">
        <v>1941</v>
      </c>
    </row>
    <row r="1040" spans="1:2" x14ac:dyDescent="0.25">
      <c r="A1040" s="120">
        <v>92703</v>
      </c>
      <c r="B1040" s="120" t="s">
        <v>1942</v>
      </c>
    </row>
    <row r="1041" spans="1:2" x14ac:dyDescent="0.25">
      <c r="A1041" s="120">
        <v>92719</v>
      </c>
      <c r="B1041" s="120" t="s">
        <v>1943</v>
      </c>
    </row>
    <row r="1042" spans="1:2" x14ac:dyDescent="0.25">
      <c r="A1042" s="120">
        <v>92918</v>
      </c>
      <c r="B1042" s="120" t="s">
        <v>1944</v>
      </c>
    </row>
    <row r="1043" spans="1:2" x14ac:dyDescent="0.25">
      <c r="A1043" s="120">
        <v>92954</v>
      </c>
      <c r="B1043" s="120" t="s">
        <v>1945</v>
      </c>
    </row>
    <row r="1044" spans="1:2" x14ac:dyDescent="0.25">
      <c r="A1044" s="120">
        <v>92955</v>
      </c>
      <c r="B1044" s="120" t="s">
        <v>1946</v>
      </c>
    </row>
    <row r="1045" spans="1:2" x14ac:dyDescent="0.25">
      <c r="A1045" s="120">
        <v>93498</v>
      </c>
      <c r="B1045" s="120" t="s">
        <v>1947</v>
      </c>
    </row>
    <row r="1046" spans="1:2" x14ac:dyDescent="0.25">
      <c r="A1046" s="120">
        <v>93566</v>
      </c>
      <c r="B1046" s="120" t="s">
        <v>1948</v>
      </c>
    </row>
    <row r="1047" spans="1:2" x14ac:dyDescent="0.25">
      <c r="A1047" s="120">
        <v>94243</v>
      </c>
      <c r="B1047" s="120" t="s">
        <v>1949</v>
      </c>
    </row>
    <row r="1048" spans="1:2" x14ac:dyDescent="0.25">
      <c r="A1048" s="120">
        <v>94624</v>
      </c>
      <c r="B1048" s="120" t="s">
        <v>1950</v>
      </c>
    </row>
    <row r="1049" spans="1:2" x14ac:dyDescent="0.25">
      <c r="A1049" s="120">
        <v>95001</v>
      </c>
      <c r="B1049" s="120" t="s">
        <v>1951</v>
      </c>
    </row>
    <row r="1050" spans="1:2" ht="45" x14ac:dyDescent="0.25">
      <c r="A1050" s="120">
        <v>95002</v>
      </c>
      <c r="B1050" s="120" t="s">
        <v>1952</v>
      </c>
    </row>
    <row r="1051" spans="1:2" x14ac:dyDescent="0.25">
      <c r="A1051" s="120">
        <v>95003</v>
      </c>
      <c r="B1051" s="120" t="s">
        <v>1953</v>
      </c>
    </row>
    <row r="1052" spans="1:2" x14ac:dyDescent="0.25">
      <c r="A1052" s="120">
        <v>95004</v>
      </c>
      <c r="B1052" s="120" t="s">
        <v>1954</v>
      </c>
    </row>
    <row r="1053" spans="1:2" ht="30" x14ac:dyDescent="0.25">
      <c r="A1053" s="120">
        <v>95005</v>
      </c>
      <c r="B1053" s="120" t="s">
        <v>1955</v>
      </c>
    </row>
    <row r="1054" spans="1:2" x14ac:dyDescent="0.25">
      <c r="A1054" s="120">
        <v>95006</v>
      </c>
      <c r="B1054" s="120" t="s">
        <v>1956</v>
      </c>
    </row>
    <row r="1055" spans="1:2" x14ac:dyDescent="0.25">
      <c r="A1055" s="120">
        <v>95007</v>
      </c>
      <c r="B1055" s="120" t="s">
        <v>1957</v>
      </c>
    </row>
    <row r="1056" spans="1:2" ht="30" x14ac:dyDescent="0.25">
      <c r="A1056" s="120">
        <v>95008</v>
      </c>
      <c r="B1056" s="120" t="s">
        <v>1958</v>
      </c>
    </row>
    <row r="1057" spans="1:2" x14ac:dyDescent="0.25">
      <c r="A1057" s="120">
        <v>95009</v>
      </c>
      <c r="B1057" s="120" t="s">
        <v>1959</v>
      </c>
    </row>
    <row r="1058" spans="1:2" ht="45" x14ac:dyDescent="0.25">
      <c r="A1058" s="120">
        <v>95010</v>
      </c>
      <c r="B1058" s="120" t="s">
        <v>1960</v>
      </c>
    </row>
    <row r="1059" spans="1:2" ht="45" x14ac:dyDescent="0.25">
      <c r="A1059" s="120">
        <v>95011</v>
      </c>
      <c r="B1059" s="120" t="s">
        <v>1961</v>
      </c>
    </row>
    <row r="1060" spans="1:2" ht="30" x14ac:dyDescent="0.25">
      <c r="A1060" s="120">
        <v>95012</v>
      </c>
      <c r="B1060" s="120" t="s">
        <v>1962</v>
      </c>
    </row>
    <row r="1061" spans="1:2" ht="30" x14ac:dyDescent="0.25">
      <c r="A1061" s="120">
        <v>95013</v>
      </c>
      <c r="B1061" s="120" t="s">
        <v>1963</v>
      </c>
    </row>
    <row r="1062" spans="1:2" ht="60" x14ac:dyDescent="0.25">
      <c r="A1062" s="120">
        <v>95014</v>
      </c>
      <c r="B1062" s="120" t="s">
        <v>1964</v>
      </c>
    </row>
    <row r="1063" spans="1:2" x14ac:dyDescent="0.25">
      <c r="A1063" s="120">
        <v>95015</v>
      </c>
      <c r="B1063" s="120" t="s">
        <v>1965</v>
      </c>
    </row>
    <row r="1064" spans="1:2" x14ac:dyDescent="0.25">
      <c r="A1064" s="120">
        <v>95016</v>
      </c>
      <c r="B1064" s="120" t="s">
        <v>1966</v>
      </c>
    </row>
    <row r="1065" spans="1:2" ht="30" x14ac:dyDescent="0.25">
      <c r="A1065" s="120">
        <v>95017</v>
      </c>
      <c r="B1065" s="120" t="s">
        <v>1967</v>
      </c>
    </row>
    <row r="1066" spans="1:2" x14ac:dyDescent="0.25">
      <c r="A1066" s="120">
        <v>95018</v>
      </c>
      <c r="B1066" s="120" t="s">
        <v>1968</v>
      </c>
    </row>
    <row r="1067" spans="1:2" x14ac:dyDescent="0.25">
      <c r="A1067" s="120">
        <v>95019</v>
      </c>
      <c r="B1067" s="120" t="s">
        <v>1969</v>
      </c>
    </row>
    <row r="1068" spans="1:2" ht="60" x14ac:dyDescent="0.25">
      <c r="A1068" s="120">
        <v>95020</v>
      </c>
      <c r="B1068" s="120" t="s">
        <v>1970</v>
      </c>
    </row>
    <row r="1069" spans="1:2" ht="45" x14ac:dyDescent="0.25">
      <c r="A1069" s="120">
        <v>95021</v>
      </c>
      <c r="B1069" s="120" t="s">
        <v>1971</v>
      </c>
    </row>
    <row r="1070" spans="1:2" ht="60" x14ac:dyDescent="0.25">
      <c r="A1070" s="120">
        <v>95022</v>
      </c>
      <c r="B1070" s="120" t="s">
        <v>1972</v>
      </c>
    </row>
    <row r="1071" spans="1:2" ht="30" x14ac:dyDescent="0.25">
      <c r="A1071" s="120">
        <v>95023</v>
      </c>
      <c r="B1071" s="120" t="s">
        <v>1973</v>
      </c>
    </row>
    <row r="1072" spans="1:2" ht="30" x14ac:dyDescent="0.25">
      <c r="A1072" s="120">
        <v>95024</v>
      </c>
      <c r="B1072" s="120" t="s">
        <v>1974</v>
      </c>
    </row>
    <row r="1073" spans="1:2" ht="45" x14ac:dyDescent="0.25">
      <c r="A1073" s="120">
        <v>95025</v>
      </c>
      <c r="B1073" s="120" t="s">
        <v>1975</v>
      </c>
    </row>
    <row r="1074" spans="1:2" ht="45" x14ac:dyDescent="0.25">
      <c r="A1074" s="120">
        <v>95026</v>
      </c>
      <c r="B1074" s="120" t="s">
        <v>1976</v>
      </c>
    </row>
    <row r="1075" spans="1:2" x14ac:dyDescent="0.25">
      <c r="A1075" s="120">
        <v>95027</v>
      </c>
      <c r="B1075" s="120" t="s">
        <v>1977</v>
      </c>
    </row>
    <row r="1076" spans="1:2" x14ac:dyDescent="0.25">
      <c r="A1076" s="120">
        <v>95028</v>
      </c>
      <c r="B1076" s="120" t="s">
        <v>1978</v>
      </c>
    </row>
    <row r="1077" spans="1:2" x14ac:dyDescent="0.25">
      <c r="A1077" s="120">
        <v>95029</v>
      </c>
      <c r="B1077" s="120" t="s">
        <v>1979</v>
      </c>
    </row>
    <row r="1078" spans="1:2" x14ac:dyDescent="0.25">
      <c r="A1078" s="120">
        <v>95030</v>
      </c>
      <c r="B1078" s="120" t="s">
        <v>1980</v>
      </c>
    </row>
    <row r="1079" spans="1:2" x14ac:dyDescent="0.25">
      <c r="A1079" s="120">
        <v>95031</v>
      </c>
      <c r="B1079" s="120" t="s">
        <v>1981</v>
      </c>
    </row>
    <row r="1080" spans="1:2" x14ac:dyDescent="0.25">
      <c r="A1080" s="120">
        <v>95113</v>
      </c>
      <c r="B1080" s="120" t="s">
        <v>1982</v>
      </c>
    </row>
    <row r="1081" spans="1:2" x14ac:dyDescent="0.25">
      <c r="A1081" s="120">
        <v>95200</v>
      </c>
      <c r="B1081" s="120" t="s">
        <v>1983</v>
      </c>
    </row>
    <row r="1082" spans="1:2" x14ac:dyDescent="0.25">
      <c r="A1082" s="120">
        <v>95201</v>
      </c>
      <c r="B1082" s="120" t="s">
        <v>1984</v>
      </c>
    </row>
    <row r="1083" spans="1:2" x14ac:dyDescent="0.25">
      <c r="A1083" s="120">
        <v>95203</v>
      </c>
      <c r="B1083" s="120" t="s">
        <v>1985</v>
      </c>
    </row>
    <row r="1084" spans="1:2" x14ac:dyDescent="0.25">
      <c r="A1084" s="120">
        <v>95204</v>
      </c>
      <c r="B1084" s="120" t="s">
        <v>1986</v>
      </c>
    </row>
    <row r="1085" spans="1:2" x14ac:dyDescent="0.25">
      <c r="A1085" s="120">
        <v>95205</v>
      </c>
      <c r="B1085" s="120" t="s">
        <v>1987</v>
      </c>
    </row>
    <row r="1086" spans="1:2" x14ac:dyDescent="0.25">
      <c r="A1086" s="120">
        <v>95206</v>
      </c>
      <c r="B1086" s="120" t="s">
        <v>1988</v>
      </c>
    </row>
    <row r="1087" spans="1:2" x14ac:dyDescent="0.25">
      <c r="A1087" s="120">
        <v>95207</v>
      </c>
      <c r="B1087" s="120" t="s">
        <v>1989</v>
      </c>
    </row>
    <row r="1088" spans="1:2" x14ac:dyDescent="0.25">
      <c r="A1088" s="120">
        <v>95208</v>
      </c>
      <c r="B1088" s="120" t="s">
        <v>1990</v>
      </c>
    </row>
    <row r="1089" spans="1:2" x14ac:dyDescent="0.25">
      <c r="A1089" s="120">
        <v>95209</v>
      </c>
      <c r="B1089" s="120" t="s">
        <v>1991</v>
      </c>
    </row>
    <row r="1090" spans="1:2" x14ac:dyDescent="0.25">
      <c r="A1090" s="120">
        <v>95212</v>
      </c>
      <c r="B1090" s="120" t="s">
        <v>1992</v>
      </c>
    </row>
    <row r="1091" spans="1:2" x14ac:dyDescent="0.25">
      <c r="A1091" s="120">
        <v>95214</v>
      </c>
      <c r="B1091" s="120" t="s">
        <v>1993</v>
      </c>
    </row>
    <row r="1092" spans="1:2" x14ac:dyDescent="0.25">
      <c r="A1092" s="120">
        <v>95217</v>
      </c>
      <c r="B1092" s="120" t="s">
        <v>1994</v>
      </c>
    </row>
    <row r="1093" spans="1:2" x14ac:dyDescent="0.25">
      <c r="A1093" s="120">
        <v>95219</v>
      </c>
      <c r="B1093" s="120" t="s">
        <v>1995</v>
      </c>
    </row>
    <row r="1094" spans="1:2" x14ac:dyDescent="0.25">
      <c r="A1094" s="120">
        <v>95220</v>
      </c>
      <c r="B1094" s="120" t="s">
        <v>1996</v>
      </c>
    </row>
    <row r="1095" spans="1:2" x14ac:dyDescent="0.25">
      <c r="A1095" s="120">
        <v>95221</v>
      </c>
      <c r="B1095" s="120" t="s">
        <v>1997</v>
      </c>
    </row>
    <row r="1096" spans="1:2" x14ac:dyDescent="0.25">
      <c r="A1096" s="120">
        <v>95222</v>
      </c>
      <c r="B1096" s="120" t="s">
        <v>1998</v>
      </c>
    </row>
    <row r="1097" spans="1:2" x14ac:dyDescent="0.25">
      <c r="A1097" s="120">
        <v>95223</v>
      </c>
      <c r="B1097" s="120" t="s">
        <v>1999</v>
      </c>
    </row>
    <row r="1098" spans="1:2" x14ac:dyDescent="0.25">
      <c r="A1098" s="120">
        <v>95224</v>
      </c>
      <c r="B1098" s="120" t="s">
        <v>2000</v>
      </c>
    </row>
    <row r="1099" spans="1:2" x14ac:dyDescent="0.25">
      <c r="A1099" s="120">
        <v>95225</v>
      </c>
      <c r="B1099" s="120" t="s">
        <v>2001</v>
      </c>
    </row>
    <row r="1100" spans="1:2" x14ac:dyDescent="0.25">
      <c r="A1100" s="120">
        <v>95226</v>
      </c>
      <c r="B1100" s="120" t="s">
        <v>2002</v>
      </c>
    </row>
    <row r="1101" spans="1:2" x14ac:dyDescent="0.25">
      <c r="A1101" s="120">
        <v>95227</v>
      </c>
      <c r="B1101" s="120" t="s">
        <v>2003</v>
      </c>
    </row>
    <row r="1102" spans="1:2" x14ac:dyDescent="0.25">
      <c r="A1102" s="120">
        <v>95231</v>
      </c>
      <c r="B1102" s="120" t="s">
        <v>2004</v>
      </c>
    </row>
    <row r="1103" spans="1:2" x14ac:dyDescent="0.25">
      <c r="A1103" s="120">
        <v>95232</v>
      </c>
      <c r="B1103" s="120" t="s">
        <v>2005</v>
      </c>
    </row>
    <row r="1104" spans="1:2" x14ac:dyDescent="0.25">
      <c r="A1104" s="120">
        <v>95236</v>
      </c>
      <c r="B1104" s="120" t="s">
        <v>2006</v>
      </c>
    </row>
    <row r="1105" spans="1:2" x14ac:dyDescent="0.25">
      <c r="A1105" s="120">
        <v>95237</v>
      </c>
      <c r="B1105" s="120" t="s">
        <v>2007</v>
      </c>
    </row>
    <row r="1106" spans="1:2" x14ac:dyDescent="0.25">
      <c r="A1106" s="120">
        <v>95279</v>
      </c>
      <c r="B1106" s="120" t="s">
        <v>2008</v>
      </c>
    </row>
    <row r="1107" spans="1:2" ht="30" x14ac:dyDescent="0.25">
      <c r="A1107" s="120">
        <v>95280</v>
      </c>
      <c r="B1107" s="120" t="s">
        <v>2009</v>
      </c>
    </row>
    <row r="1108" spans="1:2" ht="30" x14ac:dyDescent="0.25">
      <c r="A1108" s="120">
        <v>95281</v>
      </c>
      <c r="B1108" s="120" t="s">
        <v>2010</v>
      </c>
    </row>
    <row r="1109" spans="1:2" ht="30" x14ac:dyDescent="0.25">
      <c r="A1109" s="120">
        <v>95282</v>
      </c>
      <c r="B1109" s="120" t="s">
        <v>2011</v>
      </c>
    </row>
    <row r="1110" spans="1:2" ht="30" x14ac:dyDescent="0.25">
      <c r="A1110" s="120">
        <v>95283</v>
      </c>
      <c r="B1110" s="120" t="s">
        <v>2012</v>
      </c>
    </row>
    <row r="1111" spans="1:2" x14ac:dyDescent="0.25">
      <c r="A1111" s="120">
        <v>95284</v>
      </c>
      <c r="B1111" s="120" t="s">
        <v>2013</v>
      </c>
    </row>
    <row r="1112" spans="1:2" x14ac:dyDescent="0.25">
      <c r="A1112" s="120">
        <v>95285</v>
      </c>
      <c r="B1112" s="120" t="s">
        <v>2014</v>
      </c>
    </row>
    <row r="1113" spans="1:2" ht="45" x14ac:dyDescent="0.25">
      <c r="A1113" s="120">
        <v>95286</v>
      </c>
      <c r="B1113" s="120" t="s">
        <v>2015</v>
      </c>
    </row>
    <row r="1114" spans="1:2" ht="30" x14ac:dyDescent="0.25">
      <c r="A1114" s="120">
        <v>95287</v>
      </c>
      <c r="B1114" s="120" t="s">
        <v>2016</v>
      </c>
    </row>
    <row r="1115" spans="1:2" ht="30" x14ac:dyDescent="0.25">
      <c r="A1115" s="120">
        <v>95288</v>
      </c>
      <c r="B1115" s="120" t="s">
        <v>2017</v>
      </c>
    </row>
    <row r="1116" spans="1:2" ht="45" x14ac:dyDescent="0.25">
      <c r="A1116" s="120">
        <v>95289</v>
      </c>
      <c r="B1116" s="120" t="s">
        <v>2018</v>
      </c>
    </row>
    <row r="1117" spans="1:2" x14ac:dyDescent="0.25">
      <c r="A1117" s="120">
        <v>95304</v>
      </c>
      <c r="B1117" s="120" t="s">
        <v>2019</v>
      </c>
    </row>
    <row r="1118" spans="1:2" x14ac:dyDescent="0.25">
      <c r="A1118" s="120">
        <v>95312</v>
      </c>
      <c r="B1118" s="120" t="s">
        <v>2020</v>
      </c>
    </row>
    <row r="1119" spans="1:2" x14ac:dyDescent="0.25">
      <c r="A1119" s="120">
        <v>95313</v>
      </c>
      <c r="B1119" s="120" t="s">
        <v>2021</v>
      </c>
    </row>
    <row r="1120" spans="1:2" x14ac:dyDescent="0.25">
      <c r="A1120" s="120">
        <v>95314</v>
      </c>
      <c r="B1120" s="120" t="s">
        <v>2022</v>
      </c>
    </row>
    <row r="1121" spans="1:2" x14ac:dyDescent="0.25">
      <c r="A1121" s="120">
        <v>95315</v>
      </c>
      <c r="B1121" s="120" t="s">
        <v>2023</v>
      </c>
    </row>
    <row r="1122" spans="1:2" x14ac:dyDescent="0.25">
      <c r="A1122" s="120">
        <v>95318</v>
      </c>
      <c r="B1122" s="120" t="s">
        <v>2024</v>
      </c>
    </row>
    <row r="1123" spans="1:2" x14ac:dyDescent="0.25">
      <c r="A1123" s="120">
        <v>95326</v>
      </c>
      <c r="B1123" s="120" t="s">
        <v>2025</v>
      </c>
    </row>
    <row r="1124" spans="1:2" x14ac:dyDescent="0.25">
      <c r="A1124" s="120">
        <v>95327</v>
      </c>
      <c r="B1124" s="120" t="s">
        <v>2026</v>
      </c>
    </row>
    <row r="1125" spans="1:2" x14ac:dyDescent="0.25">
      <c r="A1125" s="120">
        <v>95328</v>
      </c>
      <c r="B1125" s="120" t="s">
        <v>2027</v>
      </c>
    </row>
    <row r="1126" spans="1:2" x14ac:dyDescent="0.25">
      <c r="A1126" s="120">
        <v>95376</v>
      </c>
      <c r="B1126" s="120" t="s">
        <v>2028</v>
      </c>
    </row>
    <row r="1127" spans="1:2" x14ac:dyDescent="0.25">
      <c r="A1127" s="120">
        <v>95377</v>
      </c>
      <c r="B1127" s="120" t="s">
        <v>2029</v>
      </c>
    </row>
    <row r="1128" spans="1:2" x14ac:dyDescent="0.25">
      <c r="A1128" s="120">
        <v>95378</v>
      </c>
      <c r="B1128" s="120" t="s">
        <v>2030</v>
      </c>
    </row>
    <row r="1129" spans="1:2" x14ac:dyDescent="0.25">
      <c r="A1129" s="120">
        <v>95379</v>
      </c>
      <c r="B1129" s="120" t="s">
        <v>2031</v>
      </c>
    </row>
    <row r="1130" spans="1:2" x14ac:dyDescent="0.25">
      <c r="A1130" s="120">
        <v>95380</v>
      </c>
      <c r="B1130" s="120" t="s">
        <v>2032</v>
      </c>
    </row>
    <row r="1131" spans="1:2" x14ac:dyDescent="0.25">
      <c r="A1131" s="120">
        <v>95381</v>
      </c>
      <c r="B1131" s="120" t="s">
        <v>2033</v>
      </c>
    </row>
    <row r="1132" spans="1:2" x14ac:dyDescent="0.25">
      <c r="A1132" s="120">
        <v>95385</v>
      </c>
      <c r="B1132" s="120" t="s">
        <v>2034</v>
      </c>
    </row>
    <row r="1133" spans="1:2" x14ac:dyDescent="0.25">
      <c r="A1133" s="120">
        <v>95388</v>
      </c>
      <c r="B1133" s="120" t="s">
        <v>2035</v>
      </c>
    </row>
    <row r="1134" spans="1:2" x14ac:dyDescent="0.25">
      <c r="A1134" s="120">
        <v>95389</v>
      </c>
      <c r="B1134" s="120" t="s">
        <v>2036</v>
      </c>
    </row>
    <row r="1135" spans="1:2" x14ac:dyDescent="0.25">
      <c r="A1135" s="120">
        <v>95390</v>
      </c>
      <c r="B1135" s="120" t="s">
        <v>2037</v>
      </c>
    </row>
    <row r="1136" spans="1:2" x14ac:dyDescent="0.25">
      <c r="A1136" s="120">
        <v>95393</v>
      </c>
      <c r="B1136" s="120" t="s">
        <v>2038</v>
      </c>
    </row>
    <row r="1137" spans="1:2" x14ac:dyDescent="0.25">
      <c r="A1137" s="120">
        <v>95394</v>
      </c>
      <c r="B1137" s="120" t="s">
        <v>2039</v>
      </c>
    </row>
    <row r="1138" spans="1:2" x14ac:dyDescent="0.25">
      <c r="A1138" s="120">
        <v>95396</v>
      </c>
      <c r="B1138" s="120" t="s">
        <v>2040</v>
      </c>
    </row>
    <row r="1139" spans="1:2" x14ac:dyDescent="0.25">
      <c r="A1139" s="120">
        <v>95398</v>
      </c>
      <c r="B1139" s="120" t="s">
        <v>2041</v>
      </c>
    </row>
    <row r="1140" spans="1:2" x14ac:dyDescent="0.25">
      <c r="A1140" s="120">
        <v>95399</v>
      </c>
      <c r="B1140" s="120" t="s">
        <v>2042</v>
      </c>
    </row>
    <row r="1141" spans="1:2" x14ac:dyDescent="0.25">
      <c r="A1141" s="120">
        <v>95400</v>
      </c>
      <c r="B1141" s="120" t="s">
        <v>2043</v>
      </c>
    </row>
    <row r="1142" spans="1:2" x14ac:dyDescent="0.25">
      <c r="A1142" s="120">
        <v>95401</v>
      </c>
      <c r="B1142" s="120" t="s">
        <v>2044</v>
      </c>
    </row>
    <row r="1143" spans="1:2" x14ac:dyDescent="0.25">
      <c r="A1143" s="120">
        <v>95461</v>
      </c>
      <c r="B1143" s="120" t="s">
        <v>2045</v>
      </c>
    </row>
    <row r="1144" spans="1:2" x14ac:dyDescent="0.25">
      <c r="A1144" s="120">
        <v>95462</v>
      </c>
      <c r="B1144" s="120" t="s">
        <v>2046</v>
      </c>
    </row>
    <row r="1145" spans="1:2" x14ac:dyDescent="0.25">
      <c r="A1145" s="120">
        <v>95463</v>
      </c>
      <c r="B1145" s="120" t="s">
        <v>2047</v>
      </c>
    </row>
    <row r="1146" spans="1:2" ht="45" x14ac:dyDescent="0.25">
      <c r="A1146" s="120">
        <v>95501</v>
      </c>
      <c r="B1146" s="120" t="s">
        <v>2048</v>
      </c>
    </row>
    <row r="1147" spans="1:2" x14ac:dyDescent="0.25">
      <c r="A1147" s="120">
        <v>95502</v>
      </c>
      <c r="B1147" s="120" t="s">
        <v>2049</v>
      </c>
    </row>
    <row r="1148" spans="1:2" x14ac:dyDescent="0.25">
      <c r="A1148" s="120">
        <v>95503</v>
      </c>
      <c r="B1148" s="120" t="s">
        <v>2050</v>
      </c>
    </row>
    <row r="1149" spans="1:2" ht="30" x14ac:dyDescent="0.25">
      <c r="A1149" s="120">
        <v>95504</v>
      </c>
      <c r="B1149" s="120" t="s">
        <v>2051</v>
      </c>
    </row>
    <row r="1150" spans="1:2" x14ac:dyDescent="0.25">
      <c r="A1150" s="120">
        <v>95505</v>
      </c>
      <c r="B1150" s="120" t="s">
        <v>2052</v>
      </c>
    </row>
    <row r="1151" spans="1:2" x14ac:dyDescent="0.25">
      <c r="A1151" s="120">
        <v>95506</v>
      </c>
      <c r="B1151" s="120" t="s">
        <v>2053</v>
      </c>
    </row>
    <row r="1152" spans="1:2" ht="30" x14ac:dyDescent="0.25">
      <c r="A1152" s="120">
        <v>95507</v>
      </c>
      <c r="B1152" s="120" t="s">
        <v>2054</v>
      </c>
    </row>
    <row r="1153" spans="1:2" x14ac:dyDescent="0.25">
      <c r="A1153" s="120">
        <v>95508</v>
      </c>
      <c r="B1153" s="120" t="s">
        <v>2055</v>
      </c>
    </row>
    <row r="1154" spans="1:2" ht="45" x14ac:dyDescent="0.25">
      <c r="A1154" s="120">
        <v>95509</v>
      </c>
      <c r="B1154" s="120" t="s">
        <v>2056</v>
      </c>
    </row>
    <row r="1155" spans="1:2" ht="45" x14ac:dyDescent="0.25">
      <c r="A1155" s="120">
        <v>95510</v>
      </c>
      <c r="B1155" s="120" t="s">
        <v>2057</v>
      </c>
    </row>
    <row r="1156" spans="1:2" ht="30" x14ac:dyDescent="0.25">
      <c r="A1156" s="120">
        <v>95511</v>
      </c>
      <c r="B1156" s="120" t="s">
        <v>2058</v>
      </c>
    </row>
    <row r="1157" spans="1:2" ht="30" x14ac:dyDescent="0.25">
      <c r="A1157" s="120">
        <v>95512</v>
      </c>
      <c r="B1157" s="120" t="s">
        <v>2059</v>
      </c>
    </row>
    <row r="1158" spans="1:2" ht="60" x14ac:dyDescent="0.25">
      <c r="A1158" s="120">
        <v>95513</v>
      </c>
      <c r="B1158" s="120" t="s">
        <v>2060</v>
      </c>
    </row>
    <row r="1159" spans="1:2" x14ac:dyDescent="0.25">
      <c r="A1159" s="120">
        <v>95514</v>
      </c>
      <c r="B1159" s="120" t="s">
        <v>2061</v>
      </c>
    </row>
    <row r="1160" spans="1:2" x14ac:dyDescent="0.25">
      <c r="A1160" s="120">
        <v>95515</v>
      </c>
      <c r="B1160" s="120" t="s">
        <v>2062</v>
      </c>
    </row>
    <row r="1161" spans="1:2" ht="30" x14ac:dyDescent="0.25">
      <c r="A1161" s="120">
        <v>95516</v>
      </c>
      <c r="B1161" s="120" t="s">
        <v>2063</v>
      </c>
    </row>
    <row r="1162" spans="1:2" x14ac:dyDescent="0.25">
      <c r="A1162" s="120">
        <v>95518</v>
      </c>
      <c r="B1162" s="120" t="s">
        <v>2064</v>
      </c>
    </row>
    <row r="1163" spans="1:2" x14ac:dyDescent="0.25">
      <c r="A1163" s="120">
        <v>95519</v>
      </c>
      <c r="B1163" s="120" t="s">
        <v>2065</v>
      </c>
    </row>
    <row r="1164" spans="1:2" ht="60" x14ac:dyDescent="0.25">
      <c r="A1164" s="120">
        <v>95520</v>
      </c>
      <c r="B1164" s="120" t="s">
        <v>2066</v>
      </c>
    </row>
    <row r="1165" spans="1:2" ht="45" x14ac:dyDescent="0.25">
      <c r="A1165" s="120">
        <v>95521</v>
      </c>
      <c r="B1165" s="120" t="s">
        <v>2067</v>
      </c>
    </row>
    <row r="1166" spans="1:2" ht="60" x14ac:dyDescent="0.25">
      <c r="A1166" s="120">
        <v>95522</v>
      </c>
      <c r="B1166" s="120" t="s">
        <v>2068</v>
      </c>
    </row>
    <row r="1167" spans="1:2" ht="30" x14ac:dyDescent="0.25">
      <c r="A1167" s="120">
        <v>95523</v>
      </c>
      <c r="B1167" s="120" t="s">
        <v>2069</v>
      </c>
    </row>
    <row r="1168" spans="1:2" ht="30" x14ac:dyDescent="0.25">
      <c r="A1168" s="120">
        <v>95524</v>
      </c>
      <c r="B1168" s="120" t="s">
        <v>2070</v>
      </c>
    </row>
    <row r="1169" spans="1:2" ht="45" x14ac:dyDescent="0.25">
      <c r="A1169" s="120">
        <v>95525</v>
      </c>
      <c r="B1169" s="120" t="s">
        <v>2071</v>
      </c>
    </row>
    <row r="1170" spans="1:2" ht="45" x14ac:dyDescent="0.25">
      <c r="A1170" s="120">
        <v>95526</v>
      </c>
      <c r="B1170" s="120" t="s">
        <v>2072</v>
      </c>
    </row>
    <row r="1171" spans="1:2" x14ac:dyDescent="0.25">
      <c r="A1171" s="120">
        <v>95527</v>
      </c>
      <c r="B1171" s="120" t="s">
        <v>2073</v>
      </c>
    </row>
    <row r="1172" spans="1:2" x14ac:dyDescent="0.25">
      <c r="A1172" s="120">
        <v>95528</v>
      </c>
      <c r="B1172" s="120" t="s">
        <v>2074</v>
      </c>
    </row>
    <row r="1173" spans="1:2" x14ac:dyDescent="0.25">
      <c r="A1173" s="120">
        <v>95529</v>
      </c>
      <c r="B1173" s="120" t="s">
        <v>2075</v>
      </c>
    </row>
    <row r="1174" spans="1:2" x14ac:dyDescent="0.25">
      <c r="A1174" s="120">
        <v>95530</v>
      </c>
      <c r="B1174" s="120" t="s">
        <v>2076</v>
      </c>
    </row>
    <row r="1175" spans="1:2" x14ac:dyDescent="0.25">
      <c r="A1175" s="120">
        <v>95582</v>
      </c>
      <c r="B1175" s="120" t="s">
        <v>2077</v>
      </c>
    </row>
    <row r="1176" spans="1:2" x14ac:dyDescent="0.25">
      <c r="A1176" s="120">
        <v>95583</v>
      </c>
      <c r="B1176" s="120" t="s">
        <v>2078</v>
      </c>
    </row>
    <row r="1177" spans="1:2" x14ac:dyDescent="0.25">
      <c r="A1177" s="120">
        <v>95585</v>
      </c>
      <c r="B1177" s="120" t="s">
        <v>2079</v>
      </c>
    </row>
    <row r="1178" spans="1:2" x14ac:dyDescent="0.25">
      <c r="A1178" s="120">
        <v>95587</v>
      </c>
      <c r="B1178" s="120" t="s">
        <v>2080</v>
      </c>
    </row>
    <row r="1179" spans="1:2" x14ac:dyDescent="0.25">
      <c r="A1179" s="120">
        <v>95588</v>
      </c>
      <c r="B1179" s="120" t="s">
        <v>2081</v>
      </c>
    </row>
    <row r="1180" spans="1:2" x14ac:dyDescent="0.25">
      <c r="A1180" s="120">
        <v>95589</v>
      </c>
      <c r="B1180" s="120" t="s">
        <v>2082</v>
      </c>
    </row>
    <row r="1181" spans="1:2" x14ac:dyDescent="0.25">
      <c r="A1181" s="120">
        <v>95591</v>
      </c>
      <c r="B1181" s="120" t="s">
        <v>2083</v>
      </c>
    </row>
    <row r="1182" spans="1:2" x14ac:dyDescent="0.25">
      <c r="A1182" s="120">
        <v>95595</v>
      </c>
      <c r="B1182" s="120" t="s">
        <v>2084</v>
      </c>
    </row>
    <row r="1183" spans="1:2" x14ac:dyDescent="0.25">
      <c r="A1183" s="120">
        <v>95596</v>
      </c>
      <c r="B1183" s="120" t="s">
        <v>2085</v>
      </c>
    </row>
    <row r="1184" spans="1:2" x14ac:dyDescent="0.25">
      <c r="A1184" s="120">
        <v>95597</v>
      </c>
      <c r="B1184" s="120" t="s">
        <v>2086</v>
      </c>
    </row>
    <row r="1185" spans="1:2" x14ac:dyDescent="0.25">
      <c r="A1185" s="120">
        <v>95599</v>
      </c>
      <c r="B1185" s="120" t="s">
        <v>2087</v>
      </c>
    </row>
    <row r="1186" spans="1:2" x14ac:dyDescent="0.25">
      <c r="A1186" s="120">
        <v>95601</v>
      </c>
      <c r="B1186" s="120" t="s">
        <v>2088</v>
      </c>
    </row>
    <row r="1187" spans="1:2" x14ac:dyDescent="0.25">
      <c r="A1187" s="120">
        <v>95602</v>
      </c>
      <c r="B1187" s="120" t="s">
        <v>2089</v>
      </c>
    </row>
    <row r="1188" spans="1:2" x14ac:dyDescent="0.25">
      <c r="A1188" s="120">
        <v>95603</v>
      </c>
      <c r="B1188" s="120" t="s">
        <v>2090</v>
      </c>
    </row>
    <row r="1189" spans="1:2" x14ac:dyDescent="0.25">
      <c r="A1189" s="120">
        <v>95604</v>
      </c>
      <c r="B1189" s="120" t="s">
        <v>2091</v>
      </c>
    </row>
    <row r="1190" spans="1:2" x14ac:dyDescent="0.25">
      <c r="A1190" s="120">
        <v>95605</v>
      </c>
      <c r="B1190" s="120" t="s">
        <v>2092</v>
      </c>
    </row>
    <row r="1191" spans="1:2" x14ac:dyDescent="0.25">
      <c r="A1191" s="120">
        <v>95606</v>
      </c>
      <c r="B1191" s="120" t="s">
        <v>2093</v>
      </c>
    </row>
    <row r="1192" spans="1:2" x14ac:dyDescent="0.25">
      <c r="A1192" s="120">
        <v>95607</v>
      </c>
      <c r="B1192" s="120" t="s">
        <v>2094</v>
      </c>
    </row>
    <row r="1193" spans="1:2" x14ac:dyDescent="0.25">
      <c r="A1193" s="120">
        <v>95608</v>
      </c>
      <c r="B1193" s="120" t="s">
        <v>2095</v>
      </c>
    </row>
    <row r="1194" spans="1:2" x14ac:dyDescent="0.25">
      <c r="A1194" s="120">
        <v>95609</v>
      </c>
      <c r="B1194" s="120" t="s">
        <v>2096</v>
      </c>
    </row>
    <row r="1195" spans="1:2" x14ac:dyDescent="0.25">
      <c r="A1195" s="120">
        <v>95613</v>
      </c>
      <c r="B1195" s="120" t="s">
        <v>2097</v>
      </c>
    </row>
    <row r="1196" spans="1:2" x14ac:dyDescent="0.25">
      <c r="A1196" s="120">
        <v>95617</v>
      </c>
      <c r="B1196" s="120" t="s">
        <v>2098</v>
      </c>
    </row>
    <row r="1197" spans="1:2" x14ac:dyDescent="0.25">
      <c r="A1197" s="120">
        <v>95649</v>
      </c>
      <c r="B1197" s="120" t="s">
        <v>2099</v>
      </c>
    </row>
    <row r="1198" spans="1:2" ht="30" x14ac:dyDescent="0.25">
      <c r="A1198" s="120">
        <v>95650</v>
      </c>
      <c r="B1198" s="120" t="s">
        <v>2100</v>
      </c>
    </row>
    <row r="1199" spans="1:2" ht="30" x14ac:dyDescent="0.25">
      <c r="A1199" s="120">
        <v>95651</v>
      </c>
      <c r="B1199" s="120" t="s">
        <v>2101</v>
      </c>
    </row>
    <row r="1200" spans="1:2" ht="30" x14ac:dyDescent="0.25">
      <c r="A1200" s="120">
        <v>95652</v>
      </c>
      <c r="B1200" s="120" t="s">
        <v>2102</v>
      </c>
    </row>
    <row r="1201" spans="1:2" ht="30" x14ac:dyDescent="0.25">
      <c r="A1201" s="120">
        <v>95653</v>
      </c>
      <c r="B1201" s="120" t="s">
        <v>2103</v>
      </c>
    </row>
    <row r="1202" spans="1:2" x14ac:dyDescent="0.25">
      <c r="A1202" s="120">
        <v>95654</v>
      </c>
      <c r="B1202" s="120" t="s">
        <v>2104</v>
      </c>
    </row>
    <row r="1203" spans="1:2" x14ac:dyDescent="0.25">
      <c r="A1203" s="120">
        <v>95655</v>
      </c>
      <c r="B1203" s="120" t="s">
        <v>2105</v>
      </c>
    </row>
    <row r="1204" spans="1:2" ht="45" x14ac:dyDescent="0.25">
      <c r="A1204" s="120">
        <v>95656</v>
      </c>
      <c r="B1204" s="120" t="s">
        <v>2106</v>
      </c>
    </row>
    <row r="1205" spans="1:2" ht="30" x14ac:dyDescent="0.25">
      <c r="A1205" s="120">
        <v>95657</v>
      </c>
      <c r="B1205" s="120" t="s">
        <v>2107</v>
      </c>
    </row>
    <row r="1206" spans="1:2" ht="30" x14ac:dyDescent="0.25">
      <c r="A1206" s="120">
        <v>95658</v>
      </c>
      <c r="B1206" s="120" t="s">
        <v>2108</v>
      </c>
    </row>
    <row r="1207" spans="1:2" ht="45" x14ac:dyDescent="0.25">
      <c r="A1207" s="120">
        <v>95659</v>
      </c>
      <c r="B1207" s="120" t="s">
        <v>2109</v>
      </c>
    </row>
    <row r="1208" spans="1:2" x14ac:dyDescent="0.25">
      <c r="A1208" s="120">
        <v>95677</v>
      </c>
      <c r="B1208" s="120" t="s">
        <v>2110</v>
      </c>
    </row>
    <row r="1209" spans="1:2" x14ac:dyDescent="0.25">
      <c r="A1209" s="120">
        <v>95680</v>
      </c>
      <c r="B1209" s="120" t="s">
        <v>2111</v>
      </c>
    </row>
    <row r="1210" spans="1:2" x14ac:dyDescent="0.25">
      <c r="A1210" s="120">
        <v>95681</v>
      </c>
      <c r="B1210" s="120" t="s">
        <v>2112</v>
      </c>
    </row>
    <row r="1211" spans="1:2" x14ac:dyDescent="0.25">
      <c r="A1211" s="120">
        <v>95684</v>
      </c>
      <c r="B1211" s="120" t="s">
        <v>2113</v>
      </c>
    </row>
    <row r="1212" spans="1:2" x14ac:dyDescent="0.25">
      <c r="A1212" s="120">
        <v>95685</v>
      </c>
      <c r="B1212" s="120" t="s">
        <v>2114</v>
      </c>
    </row>
    <row r="1213" spans="1:2" x14ac:dyDescent="0.25">
      <c r="A1213" s="120">
        <v>95686</v>
      </c>
      <c r="B1213" s="120" t="s">
        <v>2115</v>
      </c>
    </row>
    <row r="1214" spans="1:2" x14ac:dyDescent="0.25">
      <c r="A1214" s="120">
        <v>95687</v>
      </c>
      <c r="B1214" s="120" t="s">
        <v>2116</v>
      </c>
    </row>
    <row r="1215" spans="1:2" x14ac:dyDescent="0.25">
      <c r="A1215" s="120">
        <v>95688</v>
      </c>
      <c r="B1215" s="120" t="s">
        <v>2117</v>
      </c>
    </row>
    <row r="1216" spans="1:2" x14ac:dyDescent="0.25">
      <c r="A1216" s="120">
        <v>95690</v>
      </c>
      <c r="B1216" s="120" t="s">
        <v>2118</v>
      </c>
    </row>
    <row r="1217" spans="1:2" x14ac:dyDescent="0.25">
      <c r="A1217" s="120">
        <v>95691</v>
      </c>
      <c r="B1217" s="120" t="s">
        <v>2119</v>
      </c>
    </row>
    <row r="1218" spans="1:2" x14ac:dyDescent="0.25">
      <c r="A1218" s="120">
        <v>95692</v>
      </c>
      <c r="B1218" s="120" t="s">
        <v>2120</v>
      </c>
    </row>
    <row r="1219" spans="1:2" x14ac:dyDescent="0.25">
      <c r="A1219" s="120">
        <v>95693</v>
      </c>
      <c r="B1219" s="120" t="s">
        <v>2121</v>
      </c>
    </row>
    <row r="1220" spans="1:2" x14ac:dyDescent="0.25">
      <c r="A1220" s="120">
        <v>95694</v>
      </c>
      <c r="B1220" s="120" t="s">
        <v>2122</v>
      </c>
    </row>
    <row r="1221" spans="1:2" x14ac:dyDescent="0.25">
      <c r="A1221" s="120">
        <v>95695</v>
      </c>
      <c r="B1221" s="120" t="s">
        <v>2123</v>
      </c>
    </row>
    <row r="1222" spans="1:2" x14ac:dyDescent="0.25">
      <c r="A1222" s="120">
        <v>95696</v>
      </c>
      <c r="B1222" s="120" t="s">
        <v>2124</v>
      </c>
    </row>
    <row r="1223" spans="1:2" x14ac:dyDescent="0.25">
      <c r="A1223" s="120">
        <v>95697</v>
      </c>
      <c r="B1223" s="120" t="s">
        <v>2125</v>
      </c>
    </row>
    <row r="1224" spans="1:2" x14ac:dyDescent="0.25">
      <c r="A1224" s="120">
        <v>95698</v>
      </c>
      <c r="B1224" s="120" t="s">
        <v>2126</v>
      </c>
    </row>
    <row r="1225" spans="1:2" x14ac:dyDescent="0.25">
      <c r="A1225" s="120">
        <v>95699</v>
      </c>
      <c r="B1225" s="120" t="s">
        <v>2127</v>
      </c>
    </row>
    <row r="1226" spans="1:2" x14ac:dyDescent="0.25">
      <c r="A1226" s="120">
        <v>95700</v>
      </c>
      <c r="B1226" s="120" t="s">
        <v>2128</v>
      </c>
    </row>
    <row r="1227" spans="1:2" x14ac:dyDescent="0.25">
      <c r="A1227" s="120">
        <v>95701</v>
      </c>
      <c r="B1227" s="120" t="s">
        <v>2129</v>
      </c>
    </row>
    <row r="1228" spans="1:2" x14ac:dyDescent="0.25">
      <c r="A1228" s="120">
        <v>95731</v>
      </c>
      <c r="B1228" s="120" t="s">
        <v>2130</v>
      </c>
    </row>
    <row r="1229" spans="1:2" x14ac:dyDescent="0.25">
      <c r="A1229" s="120">
        <v>95732</v>
      </c>
      <c r="B1229" s="120" t="s">
        <v>2131</v>
      </c>
    </row>
    <row r="1230" spans="1:2" x14ac:dyDescent="0.25">
      <c r="A1230" s="120">
        <v>95733</v>
      </c>
      <c r="B1230" s="120" t="s">
        <v>2132</v>
      </c>
    </row>
    <row r="1231" spans="1:2" x14ac:dyDescent="0.25">
      <c r="A1231" s="120">
        <v>95734</v>
      </c>
      <c r="B1231" s="120" t="s">
        <v>2133</v>
      </c>
    </row>
    <row r="1232" spans="1:2" x14ac:dyDescent="0.25">
      <c r="A1232" s="120">
        <v>95735</v>
      </c>
      <c r="B1232" s="120" t="s">
        <v>2134</v>
      </c>
    </row>
    <row r="1233" spans="1:2" x14ac:dyDescent="0.25">
      <c r="A1233" s="120">
        <v>95736</v>
      </c>
      <c r="B1233" s="120" t="s">
        <v>2135</v>
      </c>
    </row>
    <row r="1234" spans="1:2" x14ac:dyDescent="0.25">
      <c r="A1234" s="120">
        <v>95737</v>
      </c>
      <c r="B1234" s="120" t="s">
        <v>2136</v>
      </c>
    </row>
    <row r="1235" spans="1:2" x14ac:dyDescent="0.25">
      <c r="A1235" s="120">
        <v>95738</v>
      </c>
      <c r="B1235" s="120" t="s">
        <v>2137</v>
      </c>
    </row>
    <row r="1236" spans="1:2" x14ac:dyDescent="0.25">
      <c r="A1236" s="120">
        <v>95739</v>
      </c>
      <c r="B1236" s="120" t="s">
        <v>2138</v>
      </c>
    </row>
    <row r="1237" spans="1:2" x14ac:dyDescent="0.25">
      <c r="A1237" s="120">
        <v>95740</v>
      </c>
      <c r="B1237" s="120" t="s">
        <v>2139</v>
      </c>
    </row>
    <row r="1238" spans="1:2" x14ac:dyDescent="0.25">
      <c r="A1238" s="120">
        <v>95741</v>
      </c>
      <c r="B1238" s="120" t="s">
        <v>2140</v>
      </c>
    </row>
    <row r="1239" spans="1:2" x14ac:dyDescent="0.25">
      <c r="A1239" s="120">
        <v>95742</v>
      </c>
      <c r="B1239" s="120" t="s">
        <v>2141</v>
      </c>
    </row>
    <row r="1240" spans="1:2" x14ac:dyDescent="0.25">
      <c r="A1240" s="120">
        <v>95743</v>
      </c>
      <c r="B1240" s="120" t="s">
        <v>2142</v>
      </c>
    </row>
    <row r="1241" spans="1:2" x14ac:dyDescent="0.25">
      <c r="A1241" s="120">
        <v>95744</v>
      </c>
      <c r="B1241" s="120" t="s">
        <v>2143</v>
      </c>
    </row>
    <row r="1242" spans="1:2" x14ac:dyDescent="0.25">
      <c r="A1242" s="120">
        <v>95745</v>
      </c>
      <c r="B1242" s="120" t="s">
        <v>2144</v>
      </c>
    </row>
    <row r="1243" spans="1:2" x14ac:dyDescent="0.25">
      <c r="A1243" s="120">
        <v>95746</v>
      </c>
      <c r="B1243" s="120" t="s">
        <v>2145</v>
      </c>
    </row>
    <row r="1244" spans="1:2" x14ac:dyDescent="0.25">
      <c r="A1244" s="120">
        <v>95747</v>
      </c>
      <c r="B1244" s="120" t="s">
        <v>2146</v>
      </c>
    </row>
    <row r="1245" spans="1:2" x14ac:dyDescent="0.25">
      <c r="A1245" s="120">
        <v>95748</v>
      </c>
      <c r="B1245" s="120" t="s">
        <v>2147</v>
      </c>
    </row>
    <row r="1246" spans="1:2" x14ac:dyDescent="0.25">
      <c r="A1246" s="120">
        <v>95749</v>
      </c>
      <c r="B1246" s="120" t="s">
        <v>2148</v>
      </c>
    </row>
    <row r="1247" spans="1:2" x14ac:dyDescent="0.25">
      <c r="A1247" s="120">
        <v>95750</v>
      </c>
      <c r="B1247" s="120" t="s">
        <v>2149</v>
      </c>
    </row>
    <row r="1248" spans="1:2" x14ac:dyDescent="0.25">
      <c r="A1248" s="120">
        <v>95751</v>
      </c>
      <c r="B1248" s="120" t="s">
        <v>2150</v>
      </c>
    </row>
    <row r="1249" spans="1:2" x14ac:dyDescent="0.25">
      <c r="A1249" s="120">
        <v>95752</v>
      </c>
      <c r="B1249" s="120" t="s">
        <v>2151</v>
      </c>
    </row>
    <row r="1250" spans="1:2" x14ac:dyDescent="0.25">
      <c r="A1250" s="120">
        <v>95753</v>
      </c>
      <c r="B1250" s="120" t="s">
        <v>2152</v>
      </c>
    </row>
    <row r="1251" spans="1:2" x14ac:dyDescent="0.25">
      <c r="A1251" s="120">
        <v>95754</v>
      </c>
      <c r="B1251" s="120" t="s">
        <v>2153</v>
      </c>
    </row>
    <row r="1252" spans="1:2" x14ac:dyDescent="0.25">
      <c r="A1252" s="120">
        <v>95755</v>
      </c>
      <c r="B1252" s="120" t="s">
        <v>2154</v>
      </c>
    </row>
    <row r="1253" spans="1:2" x14ac:dyDescent="0.25">
      <c r="A1253" s="120">
        <v>95756</v>
      </c>
      <c r="B1253" s="120" t="s">
        <v>2155</v>
      </c>
    </row>
    <row r="1254" spans="1:2" x14ac:dyDescent="0.25">
      <c r="A1254" s="120">
        <v>95757</v>
      </c>
      <c r="B1254" s="120" t="s">
        <v>2156</v>
      </c>
    </row>
    <row r="1255" spans="1:2" x14ac:dyDescent="0.25">
      <c r="A1255" s="120">
        <v>95758</v>
      </c>
      <c r="B1255" s="120" t="s">
        <v>2157</v>
      </c>
    </row>
    <row r="1256" spans="1:2" x14ac:dyDescent="0.25">
      <c r="A1256" s="120">
        <v>95759</v>
      </c>
      <c r="B1256" s="120" t="s">
        <v>2158</v>
      </c>
    </row>
    <row r="1257" spans="1:2" x14ac:dyDescent="0.25">
      <c r="A1257" s="120">
        <v>95785</v>
      </c>
      <c r="B1257" s="120" t="s">
        <v>2159</v>
      </c>
    </row>
    <row r="1258" spans="1:2" x14ac:dyDescent="0.25">
      <c r="A1258" s="120">
        <v>95786</v>
      </c>
      <c r="B1258" s="120" t="s">
        <v>2160</v>
      </c>
    </row>
    <row r="1259" spans="1:2" x14ac:dyDescent="0.25">
      <c r="A1259" s="120">
        <v>95787</v>
      </c>
      <c r="B1259" s="120" t="s">
        <v>2161</v>
      </c>
    </row>
    <row r="1260" spans="1:2" x14ac:dyDescent="0.25">
      <c r="A1260" s="120">
        <v>95816</v>
      </c>
      <c r="B1260" s="120" t="s">
        <v>2162</v>
      </c>
    </row>
    <row r="1261" spans="1:2" x14ac:dyDescent="0.25">
      <c r="A1261" s="120">
        <v>95823</v>
      </c>
      <c r="B1261" s="120" t="s">
        <v>2163</v>
      </c>
    </row>
    <row r="1262" spans="1:2" x14ac:dyDescent="0.25">
      <c r="A1262" s="120">
        <v>95901</v>
      </c>
      <c r="B1262" s="120" t="s">
        <v>2164</v>
      </c>
    </row>
    <row r="1263" spans="1:2" x14ac:dyDescent="0.25">
      <c r="A1263" s="120">
        <v>95967</v>
      </c>
      <c r="B1263" s="120" t="s">
        <v>2165</v>
      </c>
    </row>
    <row r="1264" spans="1:2" x14ac:dyDescent="0.25">
      <c r="A1264" s="120">
        <v>97173</v>
      </c>
      <c r="B1264" s="120" t="s">
        <v>2166</v>
      </c>
    </row>
    <row r="1265" spans="1:2" x14ac:dyDescent="0.25">
      <c r="A1265" s="120">
        <v>97185</v>
      </c>
      <c r="B1265" s="120" t="s">
        <v>2167</v>
      </c>
    </row>
    <row r="1266" spans="1:2" x14ac:dyDescent="0.25">
      <c r="A1266" s="120">
        <v>97186</v>
      </c>
      <c r="B1266" s="120" t="s">
        <v>2168</v>
      </c>
    </row>
    <row r="1267" spans="1:2" x14ac:dyDescent="0.25">
      <c r="A1267" s="120">
        <v>97188</v>
      </c>
      <c r="B1267" s="120" t="s">
        <v>2169</v>
      </c>
    </row>
    <row r="1268" spans="1:2" x14ac:dyDescent="0.25">
      <c r="A1268" s="120">
        <v>97189</v>
      </c>
      <c r="B1268" s="120" t="s">
        <v>2170</v>
      </c>
    </row>
    <row r="1269" spans="1:2" x14ac:dyDescent="0.25">
      <c r="A1269" s="120">
        <v>97356</v>
      </c>
      <c r="B1269" s="120" t="s">
        <v>2171</v>
      </c>
    </row>
    <row r="1270" spans="1:2" x14ac:dyDescent="0.25">
      <c r="A1270" s="120">
        <v>97572</v>
      </c>
      <c r="B1270" s="120" t="s">
        <v>2172</v>
      </c>
    </row>
    <row r="1271" spans="1:2" x14ac:dyDescent="0.25">
      <c r="A1271" s="120">
        <v>97573</v>
      </c>
      <c r="B1271" s="120" t="s">
        <v>2173</v>
      </c>
    </row>
    <row r="1272" spans="1:2" ht="30" x14ac:dyDescent="0.25">
      <c r="A1272" s="120">
        <v>98001</v>
      </c>
      <c r="B1272" s="120" t="s">
        <v>2174</v>
      </c>
    </row>
    <row r="1273" spans="1:2" x14ac:dyDescent="0.25">
      <c r="A1273" s="120">
        <v>98002</v>
      </c>
      <c r="B1273" s="120" t="s">
        <v>2175</v>
      </c>
    </row>
    <row r="1274" spans="1:2" x14ac:dyDescent="0.25">
      <c r="A1274" s="120">
        <v>98003</v>
      </c>
      <c r="B1274" s="120" t="s">
        <v>2176</v>
      </c>
    </row>
    <row r="1275" spans="1:2" x14ac:dyDescent="0.25">
      <c r="A1275" s="120">
        <v>98004</v>
      </c>
      <c r="B1275" s="120" t="s">
        <v>2177</v>
      </c>
    </row>
    <row r="1276" spans="1:2" x14ac:dyDescent="0.25">
      <c r="A1276" s="120">
        <v>98005</v>
      </c>
      <c r="B1276" s="120" t="s">
        <v>2178</v>
      </c>
    </row>
    <row r="1277" spans="1:2" x14ac:dyDescent="0.25">
      <c r="A1277" s="120">
        <v>98006</v>
      </c>
      <c r="B1277" s="120" t="s">
        <v>2179</v>
      </c>
    </row>
    <row r="1278" spans="1:2" x14ac:dyDescent="0.25">
      <c r="A1278" s="120">
        <v>98007</v>
      </c>
      <c r="B1278" s="120" t="s">
        <v>2180</v>
      </c>
    </row>
    <row r="1279" spans="1:2" x14ac:dyDescent="0.25">
      <c r="A1279" s="120">
        <v>98008</v>
      </c>
      <c r="B1279" s="120" t="s">
        <v>2181</v>
      </c>
    </row>
    <row r="1280" spans="1:2" x14ac:dyDescent="0.25">
      <c r="A1280" s="120">
        <v>98009</v>
      </c>
      <c r="B1280" s="120" t="s">
        <v>2182</v>
      </c>
    </row>
    <row r="1281" spans="1:2" x14ac:dyDescent="0.25">
      <c r="A1281" s="120">
        <v>98010</v>
      </c>
      <c r="B1281" s="120" t="s">
        <v>2183</v>
      </c>
    </row>
    <row r="1282" spans="1:2" x14ac:dyDescent="0.25">
      <c r="A1282" s="120">
        <v>98011</v>
      </c>
      <c r="B1282" s="120" t="s">
        <v>2184</v>
      </c>
    </row>
    <row r="1283" spans="1:2" x14ac:dyDescent="0.25">
      <c r="A1283" s="120">
        <v>98012</v>
      </c>
      <c r="B1283" s="120" t="s">
        <v>2185</v>
      </c>
    </row>
    <row r="1284" spans="1:2" x14ac:dyDescent="0.25">
      <c r="A1284" s="120">
        <v>98013</v>
      </c>
      <c r="B1284" s="120" t="s">
        <v>2186</v>
      </c>
    </row>
    <row r="1285" spans="1:2" x14ac:dyDescent="0.25">
      <c r="A1285" s="120">
        <v>98014</v>
      </c>
      <c r="B1285" s="120" t="s">
        <v>2187</v>
      </c>
    </row>
    <row r="1286" spans="1:2" x14ac:dyDescent="0.25">
      <c r="A1286" s="120">
        <v>98023</v>
      </c>
      <c r="B1286" s="120" t="s">
        <v>2188</v>
      </c>
    </row>
    <row r="1287" spans="1:2" x14ac:dyDescent="0.25">
      <c r="A1287" s="120">
        <v>98026</v>
      </c>
      <c r="B1287" s="120" t="s">
        <v>2189</v>
      </c>
    </row>
    <row r="1288" spans="1:2" x14ac:dyDescent="0.25">
      <c r="A1288" s="120">
        <v>98027</v>
      </c>
      <c r="B1288" s="120" t="s">
        <v>2190</v>
      </c>
    </row>
    <row r="1289" spans="1:2" x14ac:dyDescent="0.25">
      <c r="A1289" s="120">
        <v>98028</v>
      </c>
      <c r="B1289" s="120" t="s">
        <v>2191</v>
      </c>
    </row>
    <row r="1290" spans="1:2" x14ac:dyDescent="0.25">
      <c r="A1290" s="120">
        <v>98031</v>
      </c>
      <c r="B1290" s="120" t="s">
        <v>2192</v>
      </c>
    </row>
    <row r="1291" spans="1:2" x14ac:dyDescent="0.25">
      <c r="A1291" s="120">
        <v>98035</v>
      </c>
      <c r="B1291" s="120" t="s">
        <v>2193</v>
      </c>
    </row>
    <row r="1292" spans="1:2" x14ac:dyDescent="0.25">
      <c r="A1292" s="120">
        <v>98036</v>
      </c>
      <c r="B1292" s="120" t="s">
        <v>2194</v>
      </c>
    </row>
    <row r="1293" spans="1:2" x14ac:dyDescent="0.25">
      <c r="A1293" s="120">
        <v>98042</v>
      </c>
      <c r="B1293" s="120" t="s">
        <v>2195</v>
      </c>
    </row>
    <row r="1294" spans="1:2" x14ac:dyDescent="0.25">
      <c r="A1294" s="120">
        <v>98061</v>
      </c>
      <c r="B1294" s="120" t="s">
        <v>2196</v>
      </c>
    </row>
    <row r="1295" spans="1:2" x14ac:dyDescent="0.25">
      <c r="A1295" s="120">
        <v>98063</v>
      </c>
      <c r="B1295" s="120" t="s">
        <v>1056</v>
      </c>
    </row>
    <row r="1296" spans="1:2" x14ac:dyDescent="0.25">
      <c r="A1296" s="120">
        <v>98064</v>
      </c>
      <c r="B1296" s="120" t="s">
        <v>2197</v>
      </c>
    </row>
    <row r="1297" spans="1:2" x14ac:dyDescent="0.25">
      <c r="A1297" s="120">
        <v>98069</v>
      </c>
      <c r="B1297" s="120" t="s">
        <v>2198</v>
      </c>
    </row>
    <row r="1298" spans="1:2" x14ac:dyDescent="0.25">
      <c r="A1298" s="120">
        <v>98071</v>
      </c>
      <c r="B1298" s="120" t="s">
        <v>2199</v>
      </c>
    </row>
    <row r="1299" spans="1:2" x14ac:dyDescent="0.25">
      <c r="A1299" s="120">
        <v>98072</v>
      </c>
      <c r="B1299" s="120" t="s">
        <v>2200</v>
      </c>
    </row>
    <row r="1300" spans="1:2" x14ac:dyDescent="0.25">
      <c r="A1300" s="120">
        <v>98074</v>
      </c>
      <c r="B1300" s="120" t="s">
        <v>2201</v>
      </c>
    </row>
    <row r="1301" spans="1:2" x14ac:dyDescent="0.25">
      <c r="A1301" s="120">
        <v>98076</v>
      </c>
      <c r="B1301" s="120" t="s">
        <v>2202</v>
      </c>
    </row>
    <row r="1302" spans="1:2" x14ac:dyDescent="0.25">
      <c r="A1302" s="120">
        <v>98084</v>
      </c>
      <c r="B1302" s="120" t="s">
        <v>2203</v>
      </c>
    </row>
    <row r="1303" spans="1:2" x14ac:dyDescent="0.25">
      <c r="A1303" s="120">
        <v>98097</v>
      </c>
      <c r="B1303" s="120" t="s">
        <v>2204</v>
      </c>
    </row>
    <row r="1304" spans="1:2" x14ac:dyDescent="0.25">
      <c r="A1304" s="120">
        <v>98110</v>
      </c>
      <c r="B1304" s="120" t="s">
        <v>2205</v>
      </c>
    </row>
    <row r="1305" spans="1:2" x14ac:dyDescent="0.25">
      <c r="A1305" s="120">
        <v>98112</v>
      </c>
      <c r="B1305" s="120" t="s">
        <v>2206</v>
      </c>
    </row>
    <row r="1306" spans="1:2" x14ac:dyDescent="0.25">
      <c r="A1306" s="120">
        <v>98114</v>
      </c>
      <c r="B1306" s="120" t="s">
        <v>2207</v>
      </c>
    </row>
    <row r="1307" spans="1:2" x14ac:dyDescent="0.25">
      <c r="A1307" s="120">
        <v>98116</v>
      </c>
      <c r="B1307" s="120" t="s">
        <v>2208</v>
      </c>
    </row>
    <row r="1308" spans="1:2" x14ac:dyDescent="0.25">
      <c r="A1308" s="120">
        <v>98127</v>
      </c>
      <c r="B1308" s="120" t="s">
        <v>2209</v>
      </c>
    </row>
    <row r="1309" spans="1:2" ht="30" x14ac:dyDescent="0.25">
      <c r="A1309" s="120">
        <v>98130</v>
      </c>
      <c r="B1309" s="120" t="s">
        <v>2210</v>
      </c>
    </row>
    <row r="1310" spans="1:2" x14ac:dyDescent="0.25">
      <c r="A1310" s="120">
        <v>98135</v>
      </c>
      <c r="B1310" s="120" t="s">
        <v>2211</v>
      </c>
    </row>
    <row r="1311" spans="1:2" x14ac:dyDescent="0.25">
      <c r="A1311" s="120">
        <v>98138</v>
      </c>
      <c r="B1311" s="120" t="s">
        <v>2212</v>
      </c>
    </row>
    <row r="1312" spans="1:2" x14ac:dyDescent="0.25">
      <c r="A1312" s="120">
        <v>98142</v>
      </c>
      <c r="B1312" s="120" t="s">
        <v>2213</v>
      </c>
    </row>
    <row r="1313" spans="1:2" x14ac:dyDescent="0.25">
      <c r="A1313" s="120">
        <v>98172</v>
      </c>
      <c r="B1313" s="120" t="s">
        <v>2214</v>
      </c>
    </row>
    <row r="1314" spans="1:2" x14ac:dyDescent="0.25">
      <c r="A1314" s="120">
        <v>98174</v>
      </c>
      <c r="B1314" s="120" t="s">
        <v>2215</v>
      </c>
    </row>
    <row r="1315" spans="1:2" ht="30" x14ac:dyDescent="0.25">
      <c r="A1315" s="120">
        <v>98187</v>
      </c>
      <c r="B1315" s="120" t="s">
        <v>2216</v>
      </c>
    </row>
    <row r="1316" spans="1:2" x14ac:dyDescent="0.25">
      <c r="A1316" s="120">
        <v>98193</v>
      </c>
      <c r="B1316" s="120" t="s">
        <v>2217</v>
      </c>
    </row>
    <row r="1317" spans="1:2" x14ac:dyDescent="0.25">
      <c r="A1317" s="120">
        <v>98199</v>
      </c>
      <c r="B1317" s="120" t="s">
        <v>2218</v>
      </c>
    </row>
    <row r="1318" spans="1:2" x14ac:dyDescent="0.25">
      <c r="A1318" s="120">
        <v>98202</v>
      </c>
      <c r="B1318" s="120" t="s">
        <v>2219</v>
      </c>
    </row>
    <row r="1319" spans="1:2" x14ac:dyDescent="0.25">
      <c r="A1319" s="120">
        <v>98216</v>
      </c>
      <c r="B1319" s="120" t="s">
        <v>2220</v>
      </c>
    </row>
    <row r="1320" spans="1:2" x14ac:dyDescent="0.25">
      <c r="A1320" s="120">
        <v>98250</v>
      </c>
      <c r="B1320" s="120" t="s">
        <v>2221</v>
      </c>
    </row>
    <row r="1321" spans="1:2" x14ac:dyDescent="0.25">
      <c r="A1321" s="120">
        <v>98253</v>
      </c>
      <c r="B1321" s="120" t="s">
        <v>2222</v>
      </c>
    </row>
    <row r="1322" spans="1:2" x14ac:dyDescent="0.25">
      <c r="A1322" s="120">
        <v>98254</v>
      </c>
      <c r="B1322" s="120" t="s">
        <v>2223</v>
      </c>
    </row>
    <row r="1323" spans="1:2" x14ac:dyDescent="0.25">
      <c r="A1323" s="120">
        <v>98255</v>
      </c>
      <c r="B1323" s="120" t="s">
        <v>2224</v>
      </c>
    </row>
    <row r="1324" spans="1:2" x14ac:dyDescent="0.25">
      <c r="A1324" s="120">
        <v>98278</v>
      </c>
      <c r="B1324" s="120" t="s">
        <v>2225</v>
      </c>
    </row>
    <row r="1325" spans="1:2" ht="30" x14ac:dyDescent="0.25">
      <c r="A1325" s="120">
        <v>98290</v>
      </c>
      <c r="B1325" s="120" t="s">
        <v>2226</v>
      </c>
    </row>
    <row r="1326" spans="1:2" x14ac:dyDescent="0.25">
      <c r="A1326" s="120">
        <v>98297</v>
      </c>
      <c r="B1326" s="120" t="s">
        <v>2227</v>
      </c>
    </row>
    <row r="1327" spans="1:2" x14ac:dyDescent="0.25">
      <c r="A1327" s="120">
        <v>98332</v>
      </c>
      <c r="B1327" s="120" t="s">
        <v>2228</v>
      </c>
    </row>
    <row r="1328" spans="1:2" x14ac:dyDescent="0.25">
      <c r="A1328" s="120">
        <v>98335</v>
      </c>
      <c r="B1328" s="120" t="s">
        <v>2229</v>
      </c>
    </row>
    <row r="1329" spans="1:2" x14ac:dyDescent="0.25">
      <c r="A1329" s="120">
        <v>98348</v>
      </c>
      <c r="B1329" s="120" t="s">
        <v>2230</v>
      </c>
    </row>
    <row r="1330" spans="1:2" ht="30" x14ac:dyDescent="0.25">
      <c r="A1330" s="120">
        <v>98350</v>
      </c>
      <c r="B1330" s="120" t="s">
        <v>2231</v>
      </c>
    </row>
    <row r="1331" spans="1:2" x14ac:dyDescent="0.25">
      <c r="A1331" s="120">
        <v>98357</v>
      </c>
      <c r="B1331" s="120" t="s">
        <v>2232</v>
      </c>
    </row>
    <row r="1332" spans="1:2" ht="30" x14ac:dyDescent="0.25">
      <c r="A1332" s="120">
        <v>98364</v>
      </c>
      <c r="B1332" s="120" t="s">
        <v>2233</v>
      </c>
    </row>
    <row r="1333" spans="1:2" x14ac:dyDescent="0.25">
      <c r="A1333" s="120">
        <v>98436</v>
      </c>
      <c r="B1333" s="120" t="s">
        <v>2234</v>
      </c>
    </row>
    <row r="1334" spans="1:2" x14ac:dyDescent="0.25">
      <c r="A1334" s="120">
        <v>98488</v>
      </c>
      <c r="B1334" s="120" t="s">
        <v>2235</v>
      </c>
    </row>
    <row r="1335" spans="1:2" x14ac:dyDescent="0.25">
      <c r="A1335" s="120">
        <v>98492</v>
      </c>
      <c r="B1335" s="120" t="s">
        <v>2236</v>
      </c>
    </row>
    <row r="1336" spans="1:2" x14ac:dyDescent="0.25">
      <c r="A1336" s="120">
        <v>98512</v>
      </c>
      <c r="B1336" s="120" t="s">
        <v>2237</v>
      </c>
    </row>
    <row r="1337" spans="1:2" x14ac:dyDescent="0.25">
      <c r="A1337" s="120">
        <v>98513</v>
      </c>
      <c r="B1337" s="120" t="s">
        <v>2238</v>
      </c>
    </row>
    <row r="1338" spans="1:2" x14ac:dyDescent="0.25">
      <c r="A1338" s="120">
        <v>98523</v>
      </c>
      <c r="B1338" s="120" t="s">
        <v>2239</v>
      </c>
    </row>
    <row r="1339" spans="1:2" x14ac:dyDescent="0.25">
      <c r="A1339" s="120">
        <v>98527</v>
      </c>
      <c r="B1339" s="120" t="s">
        <v>2240</v>
      </c>
    </row>
    <row r="1340" spans="1:2" x14ac:dyDescent="0.25">
      <c r="A1340" s="120">
        <v>98528</v>
      </c>
      <c r="B1340" s="120" t="s">
        <v>2241</v>
      </c>
    </row>
    <row r="1341" spans="1:2" x14ac:dyDescent="0.25">
      <c r="A1341" s="120">
        <v>98529</v>
      </c>
      <c r="B1341" s="120" t="s">
        <v>2242</v>
      </c>
    </row>
    <row r="1342" spans="1:2" x14ac:dyDescent="0.25">
      <c r="A1342" s="120">
        <v>98530</v>
      </c>
      <c r="B1342" s="120" t="s">
        <v>2243</v>
      </c>
    </row>
    <row r="1343" spans="1:2" x14ac:dyDescent="0.25">
      <c r="A1343" s="120">
        <v>98531</v>
      </c>
      <c r="B1343" s="120" t="s">
        <v>2244</v>
      </c>
    </row>
    <row r="1344" spans="1:2" x14ac:dyDescent="0.25">
      <c r="A1344" s="120">
        <v>98532</v>
      </c>
      <c r="B1344" s="120" t="s">
        <v>2245</v>
      </c>
    </row>
    <row r="1345" spans="1:2" x14ac:dyDescent="0.25">
      <c r="A1345" s="120">
        <v>98533</v>
      </c>
      <c r="B1345" s="120" t="s">
        <v>2246</v>
      </c>
    </row>
    <row r="1346" spans="1:2" x14ac:dyDescent="0.25">
      <c r="A1346" s="120">
        <v>98537</v>
      </c>
      <c r="B1346" s="120" t="s">
        <v>2247</v>
      </c>
    </row>
    <row r="1347" spans="1:2" x14ac:dyDescent="0.25">
      <c r="A1347" s="120">
        <v>98542</v>
      </c>
      <c r="B1347" s="120" t="s">
        <v>2248</v>
      </c>
    </row>
    <row r="1348" spans="1:2" x14ac:dyDescent="0.25">
      <c r="A1348" s="120">
        <v>98558</v>
      </c>
      <c r="B1348" s="120" t="s">
        <v>2249</v>
      </c>
    </row>
    <row r="1349" spans="1:2" x14ac:dyDescent="0.25">
      <c r="A1349" s="120">
        <v>98661</v>
      </c>
      <c r="B1349" s="120" t="s">
        <v>2250</v>
      </c>
    </row>
    <row r="1350" spans="1:2" x14ac:dyDescent="0.25">
      <c r="A1350" s="120">
        <v>98662</v>
      </c>
      <c r="B1350" s="120" t="s">
        <v>2251</v>
      </c>
    </row>
    <row r="1351" spans="1:2" x14ac:dyDescent="0.25">
      <c r="A1351" s="120">
        <v>98663</v>
      </c>
      <c r="B1351" s="120" t="s">
        <v>2252</v>
      </c>
    </row>
    <row r="1352" spans="1:2" x14ac:dyDescent="0.25">
      <c r="A1352" s="120">
        <v>98704</v>
      </c>
      <c r="B1352" s="120" t="s">
        <v>2253</v>
      </c>
    </row>
    <row r="1353" spans="1:2" x14ac:dyDescent="0.25">
      <c r="A1353" s="120">
        <v>98707</v>
      </c>
      <c r="B1353" s="120" t="s">
        <v>2254</v>
      </c>
    </row>
    <row r="1354" spans="1:2" x14ac:dyDescent="0.25">
      <c r="A1354" s="120">
        <v>98712</v>
      </c>
      <c r="B1354" s="120" t="s">
        <v>2173</v>
      </c>
    </row>
    <row r="1355" spans="1:2" ht="30" x14ac:dyDescent="0.25">
      <c r="A1355" s="120">
        <v>98717</v>
      </c>
      <c r="B1355" s="120" t="s">
        <v>2255</v>
      </c>
    </row>
    <row r="1356" spans="1:2" x14ac:dyDescent="0.25">
      <c r="A1356" s="120">
        <v>98718</v>
      </c>
      <c r="B1356" s="120" t="s">
        <v>2256</v>
      </c>
    </row>
    <row r="1357" spans="1:2" x14ac:dyDescent="0.25">
      <c r="A1357" s="120">
        <v>98775</v>
      </c>
      <c r="B1357" s="120" t="s">
        <v>2257</v>
      </c>
    </row>
    <row r="1358" spans="1:2" x14ac:dyDescent="0.25">
      <c r="A1358" s="120">
        <v>98809</v>
      </c>
      <c r="B1358" s="120" t="s">
        <v>2258</v>
      </c>
    </row>
    <row r="1359" spans="1:2" ht="30" x14ac:dyDescent="0.25">
      <c r="A1359" s="120">
        <v>98858</v>
      </c>
      <c r="B1359" s="120" t="s">
        <v>2259</v>
      </c>
    </row>
    <row r="1360" spans="1:2" x14ac:dyDescent="0.25">
      <c r="A1360" s="120">
        <v>98861</v>
      </c>
      <c r="B1360" s="120" t="s">
        <v>2260</v>
      </c>
    </row>
    <row r="1361" spans="1:2" x14ac:dyDescent="0.25">
      <c r="A1361" s="120">
        <v>98875</v>
      </c>
      <c r="B1361" s="120" t="s">
        <v>2261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99"/>
  <sheetViews>
    <sheetView topLeftCell="A204" workbookViewId="0">
      <selection activeCell="B223" sqref="B1:B1048576"/>
    </sheetView>
  </sheetViews>
  <sheetFormatPr defaultColWidth="1.7109375" defaultRowHeight="15" x14ac:dyDescent="0.25"/>
  <cols>
    <col min="1" max="1" width="10" style="154" bestFit="1" customWidth="1"/>
    <col min="2" max="2" width="44.5703125" style="155" customWidth="1"/>
    <col min="3" max="26" width="30.28515625" style="124" customWidth="1"/>
    <col min="27" max="64" width="40.28515625" style="124" customWidth="1"/>
    <col min="65" max="254" width="1.7109375" style="124"/>
    <col min="255" max="255" width="10" style="124" bestFit="1" customWidth="1"/>
    <col min="256" max="256" width="44.5703125" style="124" customWidth="1"/>
    <col min="257" max="257" width="48.7109375" style="124" customWidth="1"/>
    <col min="258" max="258" width="40.28515625" style="124" customWidth="1"/>
    <col min="259" max="282" width="30.28515625" style="124" customWidth="1"/>
    <col min="283" max="320" width="40.28515625" style="124" customWidth="1"/>
    <col min="321" max="510" width="1.7109375" style="124"/>
    <col min="511" max="511" width="10" style="124" bestFit="1" customWidth="1"/>
    <col min="512" max="512" width="44.5703125" style="124" customWidth="1"/>
    <col min="513" max="513" width="48.7109375" style="124" customWidth="1"/>
    <col min="514" max="514" width="40.28515625" style="124" customWidth="1"/>
    <col min="515" max="538" width="30.28515625" style="124" customWidth="1"/>
    <col min="539" max="576" width="40.28515625" style="124" customWidth="1"/>
    <col min="577" max="766" width="1.7109375" style="124"/>
    <col min="767" max="767" width="10" style="124" bestFit="1" customWidth="1"/>
    <col min="768" max="768" width="44.5703125" style="124" customWidth="1"/>
    <col min="769" max="769" width="48.7109375" style="124" customWidth="1"/>
    <col min="770" max="770" width="40.28515625" style="124" customWidth="1"/>
    <col min="771" max="794" width="30.28515625" style="124" customWidth="1"/>
    <col min="795" max="832" width="40.28515625" style="124" customWidth="1"/>
    <col min="833" max="1022" width="1.7109375" style="124"/>
    <col min="1023" max="1023" width="10" style="124" bestFit="1" customWidth="1"/>
    <col min="1024" max="1024" width="44.5703125" style="124" customWidth="1"/>
    <col min="1025" max="1025" width="48.7109375" style="124" customWidth="1"/>
    <col min="1026" max="1026" width="40.28515625" style="124" customWidth="1"/>
    <col min="1027" max="1050" width="30.28515625" style="124" customWidth="1"/>
    <col min="1051" max="1088" width="40.28515625" style="124" customWidth="1"/>
    <col min="1089" max="1278" width="1.7109375" style="124"/>
    <col min="1279" max="1279" width="10" style="124" bestFit="1" customWidth="1"/>
    <col min="1280" max="1280" width="44.5703125" style="124" customWidth="1"/>
    <col min="1281" max="1281" width="48.7109375" style="124" customWidth="1"/>
    <col min="1282" max="1282" width="40.28515625" style="124" customWidth="1"/>
    <col min="1283" max="1306" width="30.28515625" style="124" customWidth="1"/>
    <col min="1307" max="1344" width="40.28515625" style="124" customWidth="1"/>
    <col min="1345" max="1534" width="1.7109375" style="124"/>
    <col min="1535" max="1535" width="10" style="124" bestFit="1" customWidth="1"/>
    <col min="1536" max="1536" width="44.5703125" style="124" customWidth="1"/>
    <col min="1537" max="1537" width="48.7109375" style="124" customWidth="1"/>
    <col min="1538" max="1538" width="40.28515625" style="124" customWidth="1"/>
    <col min="1539" max="1562" width="30.28515625" style="124" customWidth="1"/>
    <col min="1563" max="1600" width="40.28515625" style="124" customWidth="1"/>
    <col min="1601" max="1790" width="1.7109375" style="124"/>
    <col min="1791" max="1791" width="10" style="124" bestFit="1" customWidth="1"/>
    <col min="1792" max="1792" width="44.5703125" style="124" customWidth="1"/>
    <col min="1793" max="1793" width="48.7109375" style="124" customWidth="1"/>
    <col min="1794" max="1794" width="40.28515625" style="124" customWidth="1"/>
    <col min="1795" max="1818" width="30.28515625" style="124" customWidth="1"/>
    <col min="1819" max="1856" width="40.28515625" style="124" customWidth="1"/>
    <col min="1857" max="2046" width="1.7109375" style="124"/>
    <col min="2047" max="2047" width="10" style="124" bestFit="1" customWidth="1"/>
    <col min="2048" max="2048" width="44.5703125" style="124" customWidth="1"/>
    <col min="2049" max="2049" width="48.7109375" style="124" customWidth="1"/>
    <col min="2050" max="2050" width="40.28515625" style="124" customWidth="1"/>
    <col min="2051" max="2074" width="30.28515625" style="124" customWidth="1"/>
    <col min="2075" max="2112" width="40.28515625" style="124" customWidth="1"/>
    <col min="2113" max="2302" width="1.7109375" style="124"/>
    <col min="2303" max="2303" width="10" style="124" bestFit="1" customWidth="1"/>
    <col min="2304" max="2304" width="44.5703125" style="124" customWidth="1"/>
    <col min="2305" max="2305" width="48.7109375" style="124" customWidth="1"/>
    <col min="2306" max="2306" width="40.28515625" style="124" customWidth="1"/>
    <col min="2307" max="2330" width="30.28515625" style="124" customWidth="1"/>
    <col min="2331" max="2368" width="40.28515625" style="124" customWidth="1"/>
    <col min="2369" max="2558" width="1.7109375" style="124"/>
    <col min="2559" max="2559" width="10" style="124" bestFit="1" customWidth="1"/>
    <col min="2560" max="2560" width="44.5703125" style="124" customWidth="1"/>
    <col min="2561" max="2561" width="48.7109375" style="124" customWidth="1"/>
    <col min="2562" max="2562" width="40.28515625" style="124" customWidth="1"/>
    <col min="2563" max="2586" width="30.28515625" style="124" customWidth="1"/>
    <col min="2587" max="2624" width="40.28515625" style="124" customWidth="1"/>
    <col min="2625" max="2814" width="1.7109375" style="124"/>
    <col min="2815" max="2815" width="10" style="124" bestFit="1" customWidth="1"/>
    <col min="2816" max="2816" width="44.5703125" style="124" customWidth="1"/>
    <col min="2817" max="2817" width="48.7109375" style="124" customWidth="1"/>
    <col min="2818" max="2818" width="40.28515625" style="124" customWidth="1"/>
    <col min="2819" max="2842" width="30.28515625" style="124" customWidth="1"/>
    <col min="2843" max="2880" width="40.28515625" style="124" customWidth="1"/>
    <col min="2881" max="3070" width="1.7109375" style="124"/>
    <col min="3071" max="3071" width="10" style="124" bestFit="1" customWidth="1"/>
    <col min="3072" max="3072" width="44.5703125" style="124" customWidth="1"/>
    <col min="3073" max="3073" width="48.7109375" style="124" customWidth="1"/>
    <col min="3074" max="3074" width="40.28515625" style="124" customWidth="1"/>
    <col min="3075" max="3098" width="30.28515625" style="124" customWidth="1"/>
    <col min="3099" max="3136" width="40.28515625" style="124" customWidth="1"/>
    <col min="3137" max="3326" width="1.7109375" style="124"/>
    <col min="3327" max="3327" width="10" style="124" bestFit="1" customWidth="1"/>
    <col min="3328" max="3328" width="44.5703125" style="124" customWidth="1"/>
    <col min="3329" max="3329" width="48.7109375" style="124" customWidth="1"/>
    <col min="3330" max="3330" width="40.28515625" style="124" customWidth="1"/>
    <col min="3331" max="3354" width="30.28515625" style="124" customWidth="1"/>
    <col min="3355" max="3392" width="40.28515625" style="124" customWidth="1"/>
    <col min="3393" max="3582" width="1.7109375" style="124"/>
    <col min="3583" max="3583" width="10" style="124" bestFit="1" customWidth="1"/>
    <col min="3584" max="3584" width="44.5703125" style="124" customWidth="1"/>
    <col min="3585" max="3585" width="48.7109375" style="124" customWidth="1"/>
    <col min="3586" max="3586" width="40.28515625" style="124" customWidth="1"/>
    <col min="3587" max="3610" width="30.28515625" style="124" customWidth="1"/>
    <col min="3611" max="3648" width="40.28515625" style="124" customWidth="1"/>
    <col min="3649" max="3838" width="1.7109375" style="124"/>
    <col min="3839" max="3839" width="10" style="124" bestFit="1" customWidth="1"/>
    <col min="3840" max="3840" width="44.5703125" style="124" customWidth="1"/>
    <col min="3841" max="3841" width="48.7109375" style="124" customWidth="1"/>
    <col min="3842" max="3842" width="40.28515625" style="124" customWidth="1"/>
    <col min="3843" max="3866" width="30.28515625" style="124" customWidth="1"/>
    <col min="3867" max="3904" width="40.28515625" style="124" customWidth="1"/>
    <col min="3905" max="4094" width="1.7109375" style="124"/>
    <col min="4095" max="4095" width="10" style="124" bestFit="1" customWidth="1"/>
    <col min="4096" max="4096" width="44.5703125" style="124" customWidth="1"/>
    <col min="4097" max="4097" width="48.7109375" style="124" customWidth="1"/>
    <col min="4098" max="4098" width="40.28515625" style="124" customWidth="1"/>
    <col min="4099" max="4122" width="30.28515625" style="124" customWidth="1"/>
    <col min="4123" max="4160" width="40.28515625" style="124" customWidth="1"/>
    <col min="4161" max="4350" width="1.7109375" style="124"/>
    <col min="4351" max="4351" width="10" style="124" bestFit="1" customWidth="1"/>
    <col min="4352" max="4352" width="44.5703125" style="124" customWidth="1"/>
    <col min="4353" max="4353" width="48.7109375" style="124" customWidth="1"/>
    <col min="4354" max="4354" width="40.28515625" style="124" customWidth="1"/>
    <col min="4355" max="4378" width="30.28515625" style="124" customWidth="1"/>
    <col min="4379" max="4416" width="40.28515625" style="124" customWidth="1"/>
    <col min="4417" max="4606" width="1.7109375" style="124"/>
    <col min="4607" max="4607" width="10" style="124" bestFit="1" customWidth="1"/>
    <col min="4608" max="4608" width="44.5703125" style="124" customWidth="1"/>
    <col min="4609" max="4609" width="48.7109375" style="124" customWidth="1"/>
    <col min="4610" max="4610" width="40.28515625" style="124" customWidth="1"/>
    <col min="4611" max="4634" width="30.28515625" style="124" customWidth="1"/>
    <col min="4635" max="4672" width="40.28515625" style="124" customWidth="1"/>
    <col min="4673" max="4862" width="1.7109375" style="124"/>
    <col min="4863" max="4863" width="10" style="124" bestFit="1" customWidth="1"/>
    <col min="4864" max="4864" width="44.5703125" style="124" customWidth="1"/>
    <col min="4865" max="4865" width="48.7109375" style="124" customWidth="1"/>
    <col min="4866" max="4866" width="40.28515625" style="124" customWidth="1"/>
    <col min="4867" max="4890" width="30.28515625" style="124" customWidth="1"/>
    <col min="4891" max="4928" width="40.28515625" style="124" customWidth="1"/>
    <col min="4929" max="5118" width="1.7109375" style="124"/>
    <col min="5119" max="5119" width="10" style="124" bestFit="1" customWidth="1"/>
    <col min="5120" max="5120" width="44.5703125" style="124" customWidth="1"/>
    <col min="5121" max="5121" width="48.7109375" style="124" customWidth="1"/>
    <col min="5122" max="5122" width="40.28515625" style="124" customWidth="1"/>
    <col min="5123" max="5146" width="30.28515625" style="124" customWidth="1"/>
    <col min="5147" max="5184" width="40.28515625" style="124" customWidth="1"/>
    <col min="5185" max="5374" width="1.7109375" style="124"/>
    <col min="5375" max="5375" width="10" style="124" bestFit="1" customWidth="1"/>
    <col min="5376" max="5376" width="44.5703125" style="124" customWidth="1"/>
    <col min="5377" max="5377" width="48.7109375" style="124" customWidth="1"/>
    <col min="5378" max="5378" width="40.28515625" style="124" customWidth="1"/>
    <col min="5379" max="5402" width="30.28515625" style="124" customWidth="1"/>
    <col min="5403" max="5440" width="40.28515625" style="124" customWidth="1"/>
    <col min="5441" max="5630" width="1.7109375" style="124"/>
    <col min="5631" max="5631" width="10" style="124" bestFit="1" customWidth="1"/>
    <col min="5632" max="5632" width="44.5703125" style="124" customWidth="1"/>
    <col min="5633" max="5633" width="48.7109375" style="124" customWidth="1"/>
    <col min="5634" max="5634" width="40.28515625" style="124" customWidth="1"/>
    <col min="5635" max="5658" width="30.28515625" style="124" customWidth="1"/>
    <col min="5659" max="5696" width="40.28515625" style="124" customWidth="1"/>
    <col min="5697" max="5886" width="1.7109375" style="124"/>
    <col min="5887" max="5887" width="10" style="124" bestFit="1" customWidth="1"/>
    <col min="5888" max="5888" width="44.5703125" style="124" customWidth="1"/>
    <col min="5889" max="5889" width="48.7109375" style="124" customWidth="1"/>
    <col min="5890" max="5890" width="40.28515625" style="124" customWidth="1"/>
    <col min="5891" max="5914" width="30.28515625" style="124" customWidth="1"/>
    <col min="5915" max="5952" width="40.28515625" style="124" customWidth="1"/>
    <col min="5953" max="6142" width="1.7109375" style="124"/>
    <col min="6143" max="6143" width="10" style="124" bestFit="1" customWidth="1"/>
    <col min="6144" max="6144" width="44.5703125" style="124" customWidth="1"/>
    <col min="6145" max="6145" width="48.7109375" style="124" customWidth="1"/>
    <col min="6146" max="6146" width="40.28515625" style="124" customWidth="1"/>
    <col min="6147" max="6170" width="30.28515625" style="124" customWidth="1"/>
    <col min="6171" max="6208" width="40.28515625" style="124" customWidth="1"/>
    <col min="6209" max="6398" width="1.7109375" style="124"/>
    <col min="6399" max="6399" width="10" style="124" bestFit="1" customWidth="1"/>
    <col min="6400" max="6400" width="44.5703125" style="124" customWidth="1"/>
    <col min="6401" max="6401" width="48.7109375" style="124" customWidth="1"/>
    <col min="6402" max="6402" width="40.28515625" style="124" customWidth="1"/>
    <col min="6403" max="6426" width="30.28515625" style="124" customWidth="1"/>
    <col min="6427" max="6464" width="40.28515625" style="124" customWidth="1"/>
    <col min="6465" max="6654" width="1.7109375" style="124"/>
    <col min="6655" max="6655" width="10" style="124" bestFit="1" customWidth="1"/>
    <col min="6656" max="6656" width="44.5703125" style="124" customWidth="1"/>
    <col min="6657" max="6657" width="48.7109375" style="124" customWidth="1"/>
    <col min="6658" max="6658" width="40.28515625" style="124" customWidth="1"/>
    <col min="6659" max="6682" width="30.28515625" style="124" customWidth="1"/>
    <col min="6683" max="6720" width="40.28515625" style="124" customWidth="1"/>
    <col min="6721" max="6910" width="1.7109375" style="124"/>
    <col min="6911" max="6911" width="10" style="124" bestFit="1" customWidth="1"/>
    <col min="6912" max="6912" width="44.5703125" style="124" customWidth="1"/>
    <col min="6913" max="6913" width="48.7109375" style="124" customWidth="1"/>
    <col min="6914" max="6914" width="40.28515625" style="124" customWidth="1"/>
    <col min="6915" max="6938" width="30.28515625" style="124" customWidth="1"/>
    <col min="6939" max="6976" width="40.28515625" style="124" customWidth="1"/>
    <col min="6977" max="7166" width="1.7109375" style="124"/>
    <col min="7167" max="7167" width="10" style="124" bestFit="1" customWidth="1"/>
    <col min="7168" max="7168" width="44.5703125" style="124" customWidth="1"/>
    <col min="7169" max="7169" width="48.7109375" style="124" customWidth="1"/>
    <col min="7170" max="7170" width="40.28515625" style="124" customWidth="1"/>
    <col min="7171" max="7194" width="30.28515625" style="124" customWidth="1"/>
    <col min="7195" max="7232" width="40.28515625" style="124" customWidth="1"/>
    <col min="7233" max="7422" width="1.7109375" style="124"/>
    <col min="7423" max="7423" width="10" style="124" bestFit="1" customWidth="1"/>
    <col min="7424" max="7424" width="44.5703125" style="124" customWidth="1"/>
    <col min="7425" max="7425" width="48.7109375" style="124" customWidth="1"/>
    <col min="7426" max="7426" width="40.28515625" style="124" customWidth="1"/>
    <col min="7427" max="7450" width="30.28515625" style="124" customWidth="1"/>
    <col min="7451" max="7488" width="40.28515625" style="124" customWidth="1"/>
    <col min="7489" max="7678" width="1.7109375" style="124"/>
    <col min="7679" max="7679" width="10" style="124" bestFit="1" customWidth="1"/>
    <col min="7680" max="7680" width="44.5703125" style="124" customWidth="1"/>
    <col min="7681" max="7681" width="48.7109375" style="124" customWidth="1"/>
    <col min="7682" max="7682" width="40.28515625" style="124" customWidth="1"/>
    <col min="7683" max="7706" width="30.28515625" style="124" customWidth="1"/>
    <col min="7707" max="7744" width="40.28515625" style="124" customWidth="1"/>
    <col min="7745" max="7934" width="1.7109375" style="124"/>
    <col min="7935" max="7935" width="10" style="124" bestFit="1" customWidth="1"/>
    <col min="7936" max="7936" width="44.5703125" style="124" customWidth="1"/>
    <col min="7937" max="7937" width="48.7109375" style="124" customWidth="1"/>
    <col min="7938" max="7938" width="40.28515625" style="124" customWidth="1"/>
    <col min="7939" max="7962" width="30.28515625" style="124" customWidth="1"/>
    <col min="7963" max="8000" width="40.28515625" style="124" customWidth="1"/>
    <col min="8001" max="8190" width="1.7109375" style="124"/>
    <col min="8191" max="8191" width="10" style="124" bestFit="1" customWidth="1"/>
    <col min="8192" max="8192" width="44.5703125" style="124" customWidth="1"/>
    <col min="8193" max="8193" width="48.7109375" style="124" customWidth="1"/>
    <col min="8194" max="8194" width="40.28515625" style="124" customWidth="1"/>
    <col min="8195" max="8218" width="30.28515625" style="124" customWidth="1"/>
    <col min="8219" max="8256" width="40.28515625" style="124" customWidth="1"/>
    <col min="8257" max="8446" width="1.7109375" style="124"/>
    <col min="8447" max="8447" width="10" style="124" bestFit="1" customWidth="1"/>
    <col min="8448" max="8448" width="44.5703125" style="124" customWidth="1"/>
    <col min="8449" max="8449" width="48.7109375" style="124" customWidth="1"/>
    <col min="8450" max="8450" width="40.28515625" style="124" customWidth="1"/>
    <col min="8451" max="8474" width="30.28515625" style="124" customWidth="1"/>
    <col min="8475" max="8512" width="40.28515625" style="124" customWidth="1"/>
    <col min="8513" max="8702" width="1.7109375" style="124"/>
    <col min="8703" max="8703" width="10" style="124" bestFit="1" customWidth="1"/>
    <col min="8704" max="8704" width="44.5703125" style="124" customWidth="1"/>
    <col min="8705" max="8705" width="48.7109375" style="124" customWidth="1"/>
    <col min="8706" max="8706" width="40.28515625" style="124" customWidth="1"/>
    <col min="8707" max="8730" width="30.28515625" style="124" customWidth="1"/>
    <col min="8731" max="8768" width="40.28515625" style="124" customWidth="1"/>
    <col min="8769" max="8958" width="1.7109375" style="124"/>
    <col min="8959" max="8959" width="10" style="124" bestFit="1" customWidth="1"/>
    <col min="8960" max="8960" width="44.5703125" style="124" customWidth="1"/>
    <col min="8961" max="8961" width="48.7109375" style="124" customWidth="1"/>
    <col min="8962" max="8962" width="40.28515625" style="124" customWidth="1"/>
    <col min="8963" max="8986" width="30.28515625" style="124" customWidth="1"/>
    <col min="8987" max="9024" width="40.28515625" style="124" customWidth="1"/>
    <col min="9025" max="9214" width="1.7109375" style="124"/>
    <col min="9215" max="9215" width="10" style="124" bestFit="1" customWidth="1"/>
    <col min="9216" max="9216" width="44.5703125" style="124" customWidth="1"/>
    <col min="9217" max="9217" width="48.7109375" style="124" customWidth="1"/>
    <col min="9218" max="9218" width="40.28515625" style="124" customWidth="1"/>
    <col min="9219" max="9242" width="30.28515625" style="124" customWidth="1"/>
    <col min="9243" max="9280" width="40.28515625" style="124" customWidth="1"/>
    <col min="9281" max="9470" width="1.7109375" style="124"/>
    <col min="9471" max="9471" width="10" style="124" bestFit="1" customWidth="1"/>
    <col min="9472" max="9472" width="44.5703125" style="124" customWidth="1"/>
    <col min="9473" max="9473" width="48.7109375" style="124" customWidth="1"/>
    <col min="9474" max="9474" width="40.28515625" style="124" customWidth="1"/>
    <col min="9475" max="9498" width="30.28515625" style="124" customWidth="1"/>
    <col min="9499" max="9536" width="40.28515625" style="124" customWidth="1"/>
    <col min="9537" max="9726" width="1.7109375" style="124"/>
    <col min="9727" max="9727" width="10" style="124" bestFit="1" customWidth="1"/>
    <col min="9728" max="9728" width="44.5703125" style="124" customWidth="1"/>
    <col min="9729" max="9729" width="48.7109375" style="124" customWidth="1"/>
    <col min="9730" max="9730" width="40.28515625" style="124" customWidth="1"/>
    <col min="9731" max="9754" width="30.28515625" style="124" customWidth="1"/>
    <col min="9755" max="9792" width="40.28515625" style="124" customWidth="1"/>
    <col min="9793" max="9982" width="1.7109375" style="124"/>
    <col min="9983" max="9983" width="10" style="124" bestFit="1" customWidth="1"/>
    <col min="9984" max="9984" width="44.5703125" style="124" customWidth="1"/>
    <col min="9985" max="9985" width="48.7109375" style="124" customWidth="1"/>
    <col min="9986" max="9986" width="40.28515625" style="124" customWidth="1"/>
    <col min="9987" max="10010" width="30.28515625" style="124" customWidth="1"/>
    <col min="10011" max="10048" width="40.28515625" style="124" customWidth="1"/>
    <col min="10049" max="10238" width="1.7109375" style="124"/>
    <col min="10239" max="10239" width="10" style="124" bestFit="1" customWidth="1"/>
    <col min="10240" max="10240" width="44.5703125" style="124" customWidth="1"/>
    <col min="10241" max="10241" width="48.7109375" style="124" customWidth="1"/>
    <col min="10242" max="10242" width="40.28515625" style="124" customWidth="1"/>
    <col min="10243" max="10266" width="30.28515625" style="124" customWidth="1"/>
    <col min="10267" max="10304" width="40.28515625" style="124" customWidth="1"/>
    <col min="10305" max="10494" width="1.7109375" style="124"/>
    <col min="10495" max="10495" width="10" style="124" bestFit="1" customWidth="1"/>
    <col min="10496" max="10496" width="44.5703125" style="124" customWidth="1"/>
    <col min="10497" max="10497" width="48.7109375" style="124" customWidth="1"/>
    <col min="10498" max="10498" width="40.28515625" style="124" customWidth="1"/>
    <col min="10499" max="10522" width="30.28515625" style="124" customWidth="1"/>
    <col min="10523" max="10560" width="40.28515625" style="124" customWidth="1"/>
    <col min="10561" max="10750" width="1.7109375" style="124"/>
    <col min="10751" max="10751" width="10" style="124" bestFit="1" customWidth="1"/>
    <col min="10752" max="10752" width="44.5703125" style="124" customWidth="1"/>
    <col min="10753" max="10753" width="48.7109375" style="124" customWidth="1"/>
    <col min="10754" max="10754" width="40.28515625" style="124" customWidth="1"/>
    <col min="10755" max="10778" width="30.28515625" style="124" customWidth="1"/>
    <col min="10779" max="10816" width="40.28515625" style="124" customWidth="1"/>
    <col min="10817" max="11006" width="1.7109375" style="124"/>
    <col min="11007" max="11007" width="10" style="124" bestFit="1" customWidth="1"/>
    <col min="11008" max="11008" width="44.5703125" style="124" customWidth="1"/>
    <col min="11009" max="11009" width="48.7109375" style="124" customWidth="1"/>
    <col min="11010" max="11010" width="40.28515625" style="124" customWidth="1"/>
    <col min="11011" max="11034" width="30.28515625" style="124" customWidth="1"/>
    <col min="11035" max="11072" width="40.28515625" style="124" customWidth="1"/>
    <col min="11073" max="11262" width="1.7109375" style="124"/>
    <col min="11263" max="11263" width="10" style="124" bestFit="1" customWidth="1"/>
    <col min="11264" max="11264" width="44.5703125" style="124" customWidth="1"/>
    <col min="11265" max="11265" width="48.7109375" style="124" customWidth="1"/>
    <col min="11266" max="11266" width="40.28515625" style="124" customWidth="1"/>
    <col min="11267" max="11290" width="30.28515625" style="124" customWidth="1"/>
    <col min="11291" max="11328" width="40.28515625" style="124" customWidth="1"/>
    <col min="11329" max="11518" width="1.7109375" style="124"/>
    <col min="11519" max="11519" width="10" style="124" bestFit="1" customWidth="1"/>
    <col min="11520" max="11520" width="44.5703125" style="124" customWidth="1"/>
    <col min="11521" max="11521" width="48.7109375" style="124" customWidth="1"/>
    <col min="11522" max="11522" width="40.28515625" style="124" customWidth="1"/>
    <col min="11523" max="11546" width="30.28515625" style="124" customWidth="1"/>
    <col min="11547" max="11584" width="40.28515625" style="124" customWidth="1"/>
    <col min="11585" max="11774" width="1.7109375" style="124"/>
    <col min="11775" max="11775" width="10" style="124" bestFit="1" customWidth="1"/>
    <col min="11776" max="11776" width="44.5703125" style="124" customWidth="1"/>
    <col min="11777" max="11777" width="48.7109375" style="124" customWidth="1"/>
    <col min="11778" max="11778" width="40.28515625" style="124" customWidth="1"/>
    <col min="11779" max="11802" width="30.28515625" style="124" customWidth="1"/>
    <col min="11803" max="11840" width="40.28515625" style="124" customWidth="1"/>
    <col min="11841" max="12030" width="1.7109375" style="124"/>
    <col min="12031" max="12031" width="10" style="124" bestFit="1" customWidth="1"/>
    <col min="12032" max="12032" width="44.5703125" style="124" customWidth="1"/>
    <col min="12033" max="12033" width="48.7109375" style="124" customWidth="1"/>
    <col min="12034" max="12034" width="40.28515625" style="124" customWidth="1"/>
    <col min="12035" max="12058" width="30.28515625" style="124" customWidth="1"/>
    <col min="12059" max="12096" width="40.28515625" style="124" customWidth="1"/>
    <col min="12097" max="12286" width="1.7109375" style="124"/>
    <col min="12287" max="12287" width="10" style="124" bestFit="1" customWidth="1"/>
    <col min="12288" max="12288" width="44.5703125" style="124" customWidth="1"/>
    <col min="12289" max="12289" width="48.7109375" style="124" customWidth="1"/>
    <col min="12290" max="12290" width="40.28515625" style="124" customWidth="1"/>
    <col min="12291" max="12314" width="30.28515625" style="124" customWidth="1"/>
    <col min="12315" max="12352" width="40.28515625" style="124" customWidth="1"/>
    <col min="12353" max="12542" width="1.7109375" style="124"/>
    <col min="12543" max="12543" width="10" style="124" bestFit="1" customWidth="1"/>
    <col min="12544" max="12544" width="44.5703125" style="124" customWidth="1"/>
    <col min="12545" max="12545" width="48.7109375" style="124" customWidth="1"/>
    <col min="12546" max="12546" width="40.28515625" style="124" customWidth="1"/>
    <col min="12547" max="12570" width="30.28515625" style="124" customWidth="1"/>
    <col min="12571" max="12608" width="40.28515625" style="124" customWidth="1"/>
    <col min="12609" max="12798" width="1.7109375" style="124"/>
    <col min="12799" max="12799" width="10" style="124" bestFit="1" customWidth="1"/>
    <col min="12800" max="12800" width="44.5703125" style="124" customWidth="1"/>
    <col min="12801" max="12801" width="48.7109375" style="124" customWidth="1"/>
    <col min="12802" max="12802" width="40.28515625" style="124" customWidth="1"/>
    <col min="12803" max="12826" width="30.28515625" style="124" customWidth="1"/>
    <col min="12827" max="12864" width="40.28515625" style="124" customWidth="1"/>
    <col min="12865" max="13054" width="1.7109375" style="124"/>
    <col min="13055" max="13055" width="10" style="124" bestFit="1" customWidth="1"/>
    <col min="13056" max="13056" width="44.5703125" style="124" customWidth="1"/>
    <col min="13057" max="13057" width="48.7109375" style="124" customWidth="1"/>
    <col min="13058" max="13058" width="40.28515625" style="124" customWidth="1"/>
    <col min="13059" max="13082" width="30.28515625" style="124" customWidth="1"/>
    <col min="13083" max="13120" width="40.28515625" style="124" customWidth="1"/>
    <col min="13121" max="13310" width="1.7109375" style="124"/>
    <col min="13311" max="13311" width="10" style="124" bestFit="1" customWidth="1"/>
    <col min="13312" max="13312" width="44.5703125" style="124" customWidth="1"/>
    <col min="13313" max="13313" width="48.7109375" style="124" customWidth="1"/>
    <col min="13314" max="13314" width="40.28515625" style="124" customWidth="1"/>
    <col min="13315" max="13338" width="30.28515625" style="124" customWidth="1"/>
    <col min="13339" max="13376" width="40.28515625" style="124" customWidth="1"/>
    <col min="13377" max="13566" width="1.7109375" style="124"/>
    <col min="13567" max="13567" width="10" style="124" bestFit="1" customWidth="1"/>
    <col min="13568" max="13568" width="44.5703125" style="124" customWidth="1"/>
    <col min="13569" max="13569" width="48.7109375" style="124" customWidth="1"/>
    <col min="13570" max="13570" width="40.28515625" style="124" customWidth="1"/>
    <col min="13571" max="13594" width="30.28515625" style="124" customWidth="1"/>
    <col min="13595" max="13632" width="40.28515625" style="124" customWidth="1"/>
    <col min="13633" max="13822" width="1.7109375" style="124"/>
    <col min="13823" max="13823" width="10" style="124" bestFit="1" customWidth="1"/>
    <col min="13824" max="13824" width="44.5703125" style="124" customWidth="1"/>
    <col min="13825" max="13825" width="48.7109375" style="124" customWidth="1"/>
    <col min="13826" max="13826" width="40.28515625" style="124" customWidth="1"/>
    <col min="13827" max="13850" width="30.28515625" style="124" customWidth="1"/>
    <col min="13851" max="13888" width="40.28515625" style="124" customWidth="1"/>
    <col min="13889" max="14078" width="1.7109375" style="124"/>
    <col min="14079" max="14079" width="10" style="124" bestFit="1" customWidth="1"/>
    <col min="14080" max="14080" width="44.5703125" style="124" customWidth="1"/>
    <col min="14081" max="14081" width="48.7109375" style="124" customWidth="1"/>
    <col min="14082" max="14082" width="40.28515625" style="124" customWidth="1"/>
    <col min="14083" max="14106" width="30.28515625" style="124" customWidth="1"/>
    <col min="14107" max="14144" width="40.28515625" style="124" customWidth="1"/>
    <col min="14145" max="14334" width="1.7109375" style="124"/>
    <col min="14335" max="14335" width="10" style="124" bestFit="1" customWidth="1"/>
    <col min="14336" max="14336" width="44.5703125" style="124" customWidth="1"/>
    <col min="14337" max="14337" width="48.7109375" style="124" customWidth="1"/>
    <col min="14338" max="14338" width="40.28515625" style="124" customWidth="1"/>
    <col min="14339" max="14362" width="30.28515625" style="124" customWidth="1"/>
    <col min="14363" max="14400" width="40.28515625" style="124" customWidth="1"/>
    <col min="14401" max="14590" width="1.7109375" style="124"/>
    <col min="14591" max="14591" width="10" style="124" bestFit="1" customWidth="1"/>
    <col min="14592" max="14592" width="44.5703125" style="124" customWidth="1"/>
    <col min="14593" max="14593" width="48.7109375" style="124" customWidth="1"/>
    <col min="14594" max="14594" width="40.28515625" style="124" customWidth="1"/>
    <col min="14595" max="14618" width="30.28515625" style="124" customWidth="1"/>
    <col min="14619" max="14656" width="40.28515625" style="124" customWidth="1"/>
    <col min="14657" max="14846" width="1.7109375" style="124"/>
    <col min="14847" max="14847" width="10" style="124" bestFit="1" customWidth="1"/>
    <col min="14848" max="14848" width="44.5703125" style="124" customWidth="1"/>
    <col min="14849" max="14849" width="48.7109375" style="124" customWidth="1"/>
    <col min="14850" max="14850" width="40.28515625" style="124" customWidth="1"/>
    <col min="14851" max="14874" width="30.28515625" style="124" customWidth="1"/>
    <col min="14875" max="14912" width="40.28515625" style="124" customWidth="1"/>
    <col min="14913" max="15102" width="1.7109375" style="124"/>
    <col min="15103" max="15103" width="10" style="124" bestFit="1" customWidth="1"/>
    <col min="15104" max="15104" width="44.5703125" style="124" customWidth="1"/>
    <col min="15105" max="15105" width="48.7109375" style="124" customWidth="1"/>
    <col min="15106" max="15106" width="40.28515625" style="124" customWidth="1"/>
    <col min="15107" max="15130" width="30.28515625" style="124" customWidth="1"/>
    <col min="15131" max="15168" width="40.28515625" style="124" customWidth="1"/>
    <col min="15169" max="15358" width="1.7109375" style="124"/>
    <col min="15359" max="15359" width="10" style="124" bestFit="1" customWidth="1"/>
    <col min="15360" max="15360" width="44.5703125" style="124" customWidth="1"/>
    <col min="15361" max="15361" width="48.7109375" style="124" customWidth="1"/>
    <col min="15362" max="15362" width="40.28515625" style="124" customWidth="1"/>
    <col min="15363" max="15386" width="30.28515625" style="124" customWidth="1"/>
    <col min="15387" max="15424" width="40.28515625" style="124" customWidth="1"/>
    <col min="15425" max="15614" width="1.7109375" style="124"/>
    <col min="15615" max="15615" width="10" style="124" bestFit="1" customWidth="1"/>
    <col min="15616" max="15616" width="44.5703125" style="124" customWidth="1"/>
    <col min="15617" max="15617" width="48.7109375" style="124" customWidth="1"/>
    <col min="15618" max="15618" width="40.28515625" style="124" customWidth="1"/>
    <col min="15619" max="15642" width="30.28515625" style="124" customWidth="1"/>
    <col min="15643" max="15680" width="40.28515625" style="124" customWidth="1"/>
    <col min="15681" max="15870" width="1.7109375" style="124"/>
    <col min="15871" max="15871" width="10" style="124" bestFit="1" customWidth="1"/>
    <col min="15872" max="15872" width="44.5703125" style="124" customWidth="1"/>
    <col min="15873" max="15873" width="48.7109375" style="124" customWidth="1"/>
    <col min="15874" max="15874" width="40.28515625" style="124" customWidth="1"/>
    <col min="15875" max="15898" width="30.28515625" style="124" customWidth="1"/>
    <col min="15899" max="15936" width="40.28515625" style="124" customWidth="1"/>
    <col min="15937" max="16126" width="1.7109375" style="124"/>
    <col min="16127" max="16127" width="10" style="124" bestFit="1" customWidth="1"/>
    <col min="16128" max="16128" width="44.5703125" style="124" customWidth="1"/>
    <col min="16129" max="16129" width="48.7109375" style="124" customWidth="1"/>
    <col min="16130" max="16130" width="40.28515625" style="124" customWidth="1"/>
    <col min="16131" max="16154" width="30.28515625" style="124" customWidth="1"/>
    <col min="16155" max="16192" width="40.28515625" style="124" customWidth="1"/>
    <col min="16193" max="16384" width="1.7109375" style="124"/>
  </cols>
  <sheetData>
    <row r="1" spans="1:2" x14ac:dyDescent="0.25">
      <c r="A1" s="122" t="s">
        <v>2262</v>
      </c>
      <c r="B1" s="123"/>
    </row>
    <row r="2" spans="1:2" x14ac:dyDescent="0.25">
      <c r="A2" s="125">
        <v>1</v>
      </c>
      <c r="B2" s="126" t="s">
        <v>2263</v>
      </c>
    </row>
    <row r="3" spans="1:2" x14ac:dyDescent="0.25">
      <c r="A3" s="125">
        <v>2</v>
      </c>
      <c r="B3" s="126" t="s">
        <v>289</v>
      </c>
    </row>
    <row r="4" spans="1:2" x14ac:dyDescent="0.25">
      <c r="A4" s="125">
        <v>3</v>
      </c>
      <c r="B4" s="126" t="s">
        <v>2264</v>
      </c>
    </row>
    <row r="5" spans="1:2" x14ac:dyDescent="0.25">
      <c r="A5" s="125">
        <v>4</v>
      </c>
      <c r="B5" s="126" t="s">
        <v>2265</v>
      </c>
    </row>
    <row r="6" spans="1:2" x14ac:dyDescent="0.25">
      <c r="A6" s="125">
        <v>5</v>
      </c>
      <c r="B6" s="126" t="s">
        <v>2265</v>
      </c>
    </row>
    <row r="7" spans="1:2" x14ac:dyDescent="0.25">
      <c r="A7" s="125">
        <v>6</v>
      </c>
      <c r="B7" s="126" t="s">
        <v>2265</v>
      </c>
    </row>
    <row r="8" spans="1:2" x14ac:dyDescent="0.25">
      <c r="A8" s="125">
        <v>7</v>
      </c>
      <c r="B8" s="126" t="s">
        <v>2265</v>
      </c>
    </row>
    <row r="9" spans="1:2" x14ac:dyDescent="0.25">
      <c r="A9" s="125">
        <v>8</v>
      </c>
      <c r="B9" s="126" t="s">
        <v>2265</v>
      </c>
    </row>
    <row r="10" spans="1:2" x14ac:dyDescent="0.25">
      <c r="A10" s="125">
        <v>9</v>
      </c>
      <c r="B10" s="126" t="s">
        <v>2265</v>
      </c>
    </row>
    <row r="11" spans="1:2" x14ac:dyDescent="0.25">
      <c r="A11" s="125">
        <v>10</v>
      </c>
      <c r="B11" s="126" t="s">
        <v>2265</v>
      </c>
    </row>
    <row r="12" spans="1:2" x14ac:dyDescent="0.25">
      <c r="A12" s="125">
        <v>11</v>
      </c>
      <c r="B12" s="126" t="s">
        <v>2265</v>
      </c>
    </row>
    <row r="13" spans="1:2" x14ac:dyDescent="0.25">
      <c r="A13" s="125">
        <v>12</v>
      </c>
      <c r="B13" s="126" t="s">
        <v>2265</v>
      </c>
    </row>
    <row r="14" spans="1:2" x14ac:dyDescent="0.25">
      <c r="A14" s="125">
        <v>13</v>
      </c>
      <c r="B14" s="126" t="s">
        <v>2265</v>
      </c>
    </row>
    <row r="15" spans="1:2" x14ac:dyDescent="0.25">
      <c r="A15" s="125">
        <v>14</v>
      </c>
      <c r="B15" s="126" t="s">
        <v>2266</v>
      </c>
    </row>
    <row r="16" spans="1:2" x14ac:dyDescent="0.25">
      <c r="A16" s="125">
        <v>15</v>
      </c>
      <c r="B16" s="126" t="s">
        <v>2265</v>
      </c>
    </row>
    <row r="17" spans="1:2" x14ac:dyDescent="0.25">
      <c r="A17" s="125">
        <v>16</v>
      </c>
      <c r="B17" s="126" t="s">
        <v>2265</v>
      </c>
    </row>
    <row r="18" spans="1:2" x14ac:dyDescent="0.25">
      <c r="A18" s="125">
        <v>17</v>
      </c>
      <c r="B18" s="126" t="s">
        <v>2267</v>
      </c>
    </row>
    <row r="19" spans="1:2" x14ac:dyDescent="0.25">
      <c r="A19" s="125">
        <v>18</v>
      </c>
      <c r="B19" s="126" t="s">
        <v>2266</v>
      </c>
    </row>
    <row r="20" spans="1:2" x14ac:dyDescent="0.25">
      <c r="A20" s="125">
        <v>19</v>
      </c>
      <c r="B20" s="126" t="s">
        <v>2266</v>
      </c>
    </row>
    <row r="21" spans="1:2" x14ac:dyDescent="0.25">
      <c r="A21" s="125">
        <v>20</v>
      </c>
      <c r="B21" s="126" t="s">
        <v>2265</v>
      </c>
    </row>
    <row r="22" spans="1:2" x14ac:dyDescent="0.25">
      <c r="A22" s="125">
        <v>21</v>
      </c>
      <c r="B22" s="126" t="s">
        <v>2268</v>
      </c>
    </row>
    <row r="23" spans="1:2" x14ac:dyDescent="0.25">
      <c r="A23" s="125">
        <v>22</v>
      </c>
      <c r="B23" s="126" t="s">
        <v>2268</v>
      </c>
    </row>
    <row r="24" spans="1:2" x14ac:dyDescent="0.25">
      <c r="A24" s="125">
        <v>23</v>
      </c>
      <c r="B24" s="126" t="s">
        <v>2265</v>
      </c>
    </row>
    <row r="25" spans="1:2" x14ac:dyDescent="0.25">
      <c r="A25" s="125">
        <v>37</v>
      </c>
      <c r="B25" s="126" t="s">
        <v>2269</v>
      </c>
    </row>
    <row r="26" spans="1:2" x14ac:dyDescent="0.25">
      <c r="A26" s="125">
        <v>39</v>
      </c>
      <c r="B26" s="126" t="s">
        <v>2265</v>
      </c>
    </row>
    <row r="27" spans="1:2" x14ac:dyDescent="0.25">
      <c r="A27" s="125">
        <v>41</v>
      </c>
      <c r="B27" s="126" t="s">
        <v>2265</v>
      </c>
    </row>
    <row r="28" spans="1:2" x14ac:dyDescent="0.25">
      <c r="A28" s="125">
        <v>42</v>
      </c>
      <c r="B28" s="126" t="s">
        <v>2266</v>
      </c>
    </row>
    <row r="29" spans="1:2" x14ac:dyDescent="0.25">
      <c r="A29" s="125">
        <v>45</v>
      </c>
      <c r="B29" s="126" t="s">
        <v>2270</v>
      </c>
    </row>
    <row r="30" spans="1:2" x14ac:dyDescent="0.25">
      <c r="A30" s="125">
        <v>52</v>
      </c>
      <c r="B30" s="126" t="s">
        <v>2265</v>
      </c>
    </row>
    <row r="31" spans="1:2" x14ac:dyDescent="0.25">
      <c r="A31" s="125">
        <v>53</v>
      </c>
      <c r="B31" s="126" t="s">
        <v>2265</v>
      </c>
    </row>
    <row r="32" spans="1:2" x14ac:dyDescent="0.25">
      <c r="A32" s="125">
        <v>55</v>
      </c>
      <c r="B32" s="126" t="s">
        <v>2265</v>
      </c>
    </row>
    <row r="33" spans="1:2" x14ac:dyDescent="0.25">
      <c r="A33" s="125">
        <v>56</v>
      </c>
      <c r="B33" s="126" t="s">
        <v>2271</v>
      </c>
    </row>
    <row r="34" spans="1:2" x14ac:dyDescent="0.25">
      <c r="A34" s="125">
        <v>57</v>
      </c>
      <c r="B34" s="126" t="s">
        <v>2265</v>
      </c>
    </row>
    <row r="35" spans="1:2" x14ac:dyDescent="0.25">
      <c r="A35" s="125">
        <v>59</v>
      </c>
      <c r="B35" s="126" t="s">
        <v>2269</v>
      </c>
    </row>
    <row r="36" spans="1:2" x14ac:dyDescent="0.25">
      <c r="A36" s="125">
        <v>60</v>
      </c>
      <c r="B36" s="126" t="s">
        <v>2269</v>
      </c>
    </row>
    <row r="37" spans="1:2" x14ac:dyDescent="0.25">
      <c r="A37" s="125">
        <v>61</v>
      </c>
      <c r="B37" s="126" t="s">
        <v>2266</v>
      </c>
    </row>
    <row r="38" spans="1:2" x14ac:dyDescent="0.25">
      <c r="A38" s="125">
        <v>62</v>
      </c>
      <c r="B38" s="126" t="s">
        <v>2272</v>
      </c>
    </row>
    <row r="39" spans="1:2" x14ac:dyDescent="0.25">
      <c r="A39" s="125">
        <v>63</v>
      </c>
      <c r="B39" s="126" t="s">
        <v>2266</v>
      </c>
    </row>
    <row r="40" spans="1:2" x14ac:dyDescent="0.25">
      <c r="A40" s="125">
        <v>64</v>
      </c>
      <c r="B40" s="126" t="s">
        <v>2265</v>
      </c>
    </row>
    <row r="41" spans="1:2" x14ac:dyDescent="0.25">
      <c r="A41" s="125">
        <v>65</v>
      </c>
      <c r="B41" s="126" t="s">
        <v>2266</v>
      </c>
    </row>
    <row r="42" spans="1:2" x14ac:dyDescent="0.25">
      <c r="A42" s="125">
        <v>66</v>
      </c>
      <c r="B42" s="126" t="s">
        <v>2265</v>
      </c>
    </row>
    <row r="43" spans="1:2" x14ac:dyDescent="0.25">
      <c r="A43" s="125">
        <v>67</v>
      </c>
      <c r="B43" s="126" t="s">
        <v>2266</v>
      </c>
    </row>
    <row r="44" spans="1:2" x14ac:dyDescent="0.25">
      <c r="A44" s="125">
        <v>68</v>
      </c>
      <c r="B44" s="126" t="s">
        <v>2265</v>
      </c>
    </row>
    <row r="45" spans="1:2" x14ac:dyDescent="0.25">
      <c r="A45" s="125">
        <v>72</v>
      </c>
      <c r="B45" s="126" t="s">
        <v>2265</v>
      </c>
    </row>
    <row r="46" spans="1:2" x14ac:dyDescent="0.25">
      <c r="A46" s="125">
        <v>74</v>
      </c>
      <c r="B46" s="126" t="s">
        <v>2265</v>
      </c>
    </row>
    <row r="47" spans="1:2" x14ac:dyDescent="0.25">
      <c r="A47" s="125">
        <v>76</v>
      </c>
      <c r="B47" s="126" t="s">
        <v>2265</v>
      </c>
    </row>
    <row r="48" spans="1:2" x14ac:dyDescent="0.25">
      <c r="A48" s="125">
        <v>77</v>
      </c>
      <c r="B48" s="126" t="s">
        <v>2265</v>
      </c>
    </row>
    <row r="49" spans="1:2" x14ac:dyDescent="0.25">
      <c r="A49" s="125">
        <v>78</v>
      </c>
      <c r="B49" s="126" t="s">
        <v>2273</v>
      </c>
    </row>
    <row r="50" spans="1:2" x14ac:dyDescent="0.25">
      <c r="A50" s="125">
        <v>79</v>
      </c>
      <c r="B50" s="126" t="s">
        <v>2265</v>
      </c>
    </row>
    <row r="51" spans="1:2" x14ac:dyDescent="0.25">
      <c r="A51" s="125">
        <v>80</v>
      </c>
      <c r="B51" s="126" t="s">
        <v>2265</v>
      </c>
    </row>
    <row r="52" spans="1:2" x14ac:dyDescent="0.25">
      <c r="A52" s="125">
        <v>81</v>
      </c>
      <c r="B52" s="126" t="s">
        <v>2265</v>
      </c>
    </row>
    <row r="53" spans="1:2" x14ac:dyDescent="0.25">
      <c r="A53" s="125">
        <v>82</v>
      </c>
      <c r="B53" s="126" t="s">
        <v>2265</v>
      </c>
    </row>
    <row r="54" spans="1:2" x14ac:dyDescent="0.25">
      <c r="A54" s="125">
        <v>83</v>
      </c>
      <c r="B54" s="126" t="s">
        <v>2265</v>
      </c>
    </row>
    <row r="55" spans="1:2" x14ac:dyDescent="0.25">
      <c r="A55" s="125">
        <v>84</v>
      </c>
      <c r="B55" s="126" t="s">
        <v>2265</v>
      </c>
    </row>
    <row r="56" spans="1:2" x14ac:dyDescent="0.25">
      <c r="A56" s="125">
        <v>85</v>
      </c>
      <c r="B56" s="126" t="s">
        <v>2265</v>
      </c>
    </row>
    <row r="57" spans="1:2" x14ac:dyDescent="0.25">
      <c r="A57" s="125">
        <v>86</v>
      </c>
      <c r="B57" s="126" t="s">
        <v>2265</v>
      </c>
    </row>
    <row r="58" spans="1:2" x14ac:dyDescent="0.25">
      <c r="A58" s="125">
        <v>87</v>
      </c>
      <c r="B58" s="126" t="s">
        <v>2265</v>
      </c>
    </row>
    <row r="59" spans="1:2" x14ac:dyDescent="0.25">
      <c r="A59" s="125">
        <v>88</v>
      </c>
      <c r="B59" s="126" t="s">
        <v>2274</v>
      </c>
    </row>
    <row r="60" spans="1:2" x14ac:dyDescent="0.25">
      <c r="A60" s="125">
        <v>89</v>
      </c>
      <c r="B60" s="126" t="s">
        <v>2265</v>
      </c>
    </row>
    <row r="61" spans="1:2" x14ac:dyDescent="0.25">
      <c r="A61" s="125">
        <v>90</v>
      </c>
      <c r="B61" s="126" t="s">
        <v>2265</v>
      </c>
    </row>
    <row r="62" spans="1:2" x14ac:dyDescent="0.25">
      <c r="A62" s="125">
        <v>91</v>
      </c>
      <c r="B62" s="126" t="s">
        <v>2265</v>
      </c>
    </row>
    <row r="63" spans="1:2" x14ac:dyDescent="0.25">
      <c r="A63" s="125">
        <v>92</v>
      </c>
      <c r="B63" s="126" t="s">
        <v>2265</v>
      </c>
    </row>
    <row r="64" spans="1:2" x14ac:dyDescent="0.25">
      <c r="A64" s="125">
        <v>93</v>
      </c>
      <c r="B64" s="126" t="s">
        <v>2266</v>
      </c>
    </row>
    <row r="65" spans="1:2" x14ac:dyDescent="0.25">
      <c r="A65" s="125">
        <v>94</v>
      </c>
      <c r="B65" s="126" t="s">
        <v>2265</v>
      </c>
    </row>
    <row r="66" spans="1:2" x14ac:dyDescent="0.25">
      <c r="A66" s="125">
        <v>95</v>
      </c>
      <c r="B66" s="126" t="s">
        <v>2265</v>
      </c>
    </row>
    <row r="67" spans="1:2" x14ac:dyDescent="0.25">
      <c r="A67" s="125">
        <v>96</v>
      </c>
      <c r="B67" s="126" t="s">
        <v>2265</v>
      </c>
    </row>
    <row r="68" spans="1:2" x14ac:dyDescent="0.25">
      <c r="A68" s="125">
        <v>97</v>
      </c>
      <c r="B68" s="126" t="s">
        <v>2265</v>
      </c>
    </row>
    <row r="69" spans="1:2" x14ac:dyDescent="0.25">
      <c r="A69" s="125">
        <v>98</v>
      </c>
      <c r="B69" s="126" t="s">
        <v>2265</v>
      </c>
    </row>
    <row r="70" spans="1:2" x14ac:dyDescent="0.25">
      <c r="A70" s="125">
        <v>99</v>
      </c>
      <c r="B70" s="126" t="s">
        <v>2265</v>
      </c>
    </row>
    <row r="71" spans="1:2" x14ac:dyDescent="0.25">
      <c r="A71" s="125">
        <v>100</v>
      </c>
      <c r="B71" s="126" t="s">
        <v>2265</v>
      </c>
    </row>
    <row r="72" spans="1:2" x14ac:dyDescent="0.25">
      <c r="A72" s="125">
        <v>111</v>
      </c>
      <c r="B72" s="126" t="s">
        <v>2275</v>
      </c>
    </row>
    <row r="73" spans="1:2" x14ac:dyDescent="0.25">
      <c r="A73" s="125">
        <v>112</v>
      </c>
      <c r="B73" s="126" t="s">
        <v>2275</v>
      </c>
    </row>
    <row r="74" spans="1:2" x14ac:dyDescent="0.25">
      <c r="A74" s="125">
        <v>113</v>
      </c>
      <c r="B74" s="126" t="s">
        <v>2275</v>
      </c>
    </row>
    <row r="75" spans="1:2" x14ac:dyDescent="0.25">
      <c r="A75" s="125">
        <v>114</v>
      </c>
      <c r="B75" s="126" t="s">
        <v>2275</v>
      </c>
    </row>
    <row r="76" spans="1:2" x14ac:dyDescent="0.25">
      <c r="A76" s="125">
        <v>115</v>
      </c>
      <c r="B76" s="126" t="s">
        <v>2275</v>
      </c>
    </row>
    <row r="77" spans="1:2" x14ac:dyDescent="0.25">
      <c r="A77" s="125">
        <v>116</v>
      </c>
      <c r="B77" s="126" t="s">
        <v>2275</v>
      </c>
    </row>
    <row r="78" spans="1:2" x14ac:dyDescent="0.25">
      <c r="A78" s="215">
        <v>117</v>
      </c>
      <c r="B78" s="23" t="s">
        <v>3865</v>
      </c>
    </row>
    <row r="79" spans="1:2" x14ac:dyDescent="0.25">
      <c r="A79" s="215">
        <v>118</v>
      </c>
      <c r="B79" s="23" t="s">
        <v>3866</v>
      </c>
    </row>
    <row r="80" spans="1:2" x14ac:dyDescent="0.25">
      <c r="A80" s="215">
        <v>119</v>
      </c>
      <c r="B80" s="23" t="s">
        <v>3867</v>
      </c>
    </row>
    <row r="81" spans="1:2" x14ac:dyDescent="0.25">
      <c r="A81" s="125">
        <v>199</v>
      </c>
      <c r="B81" s="126" t="s">
        <v>2276</v>
      </c>
    </row>
    <row r="82" spans="1:2" x14ac:dyDescent="0.25">
      <c r="A82" s="125">
        <v>201</v>
      </c>
      <c r="B82" s="126" t="s">
        <v>2277</v>
      </c>
    </row>
    <row r="83" spans="1:2" x14ac:dyDescent="0.25">
      <c r="A83" s="125">
        <v>202</v>
      </c>
      <c r="B83" s="126" t="s">
        <v>2278</v>
      </c>
    </row>
    <row r="84" spans="1:2" x14ac:dyDescent="0.25">
      <c r="A84" s="125">
        <v>203</v>
      </c>
      <c r="B84" s="126" t="s">
        <v>2279</v>
      </c>
    </row>
    <row r="85" spans="1:2" x14ac:dyDescent="0.25">
      <c r="A85" s="125">
        <v>204</v>
      </c>
      <c r="B85" s="126" t="s">
        <v>2280</v>
      </c>
    </row>
    <row r="86" spans="1:2" x14ac:dyDescent="0.25">
      <c r="A86" s="125">
        <v>205</v>
      </c>
      <c r="B86" s="126" t="s">
        <v>2281</v>
      </c>
    </row>
    <row r="87" spans="1:2" x14ac:dyDescent="0.25">
      <c r="A87" s="125">
        <v>206</v>
      </c>
      <c r="B87" s="126" t="s">
        <v>2282</v>
      </c>
    </row>
    <row r="88" spans="1:2" x14ac:dyDescent="0.25">
      <c r="A88" s="125">
        <v>210</v>
      </c>
      <c r="B88" s="126" t="s">
        <v>2283</v>
      </c>
    </row>
    <row r="89" spans="1:2" x14ac:dyDescent="0.25">
      <c r="A89" s="125">
        <v>213</v>
      </c>
      <c r="B89" s="126" t="s">
        <v>2284</v>
      </c>
    </row>
    <row r="90" spans="1:2" x14ac:dyDescent="0.25">
      <c r="A90" s="125">
        <v>240</v>
      </c>
      <c r="B90" s="126" t="s">
        <v>2285</v>
      </c>
    </row>
    <row r="91" spans="1:2" x14ac:dyDescent="0.25">
      <c r="A91" s="125">
        <v>250</v>
      </c>
      <c r="B91" s="126" t="s">
        <v>2286</v>
      </c>
    </row>
    <row r="92" spans="1:2" x14ac:dyDescent="0.25">
      <c r="A92" s="127">
        <v>251</v>
      </c>
      <c r="B92" s="127" t="s">
        <v>2287</v>
      </c>
    </row>
    <row r="93" spans="1:2" x14ac:dyDescent="0.25">
      <c r="A93" s="127">
        <v>252</v>
      </c>
      <c r="B93" s="127" t="s">
        <v>2288</v>
      </c>
    </row>
    <row r="94" spans="1:2" x14ac:dyDescent="0.25">
      <c r="A94" s="125">
        <v>260</v>
      </c>
      <c r="B94" s="126" t="s">
        <v>2289</v>
      </c>
    </row>
    <row r="95" spans="1:2" x14ac:dyDescent="0.25">
      <c r="A95" s="125">
        <v>261</v>
      </c>
      <c r="B95" s="126" t="s">
        <v>2290</v>
      </c>
    </row>
    <row r="96" spans="1:2" x14ac:dyDescent="0.25">
      <c r="A96" s="125">
        <v>262</v>
      </c>
      <c r="B96" s="126" t="s">
        <v>2291</v>
      </c>
    </row>
    <row r="97" spans="1:2" x14ac:dyDescent="0.25">
      <c r="A97" s="125">
        <v>270</v>
      </c>
      <c r="B97" s="126" t="s">
        <v>2292</v>
      </c>
    </row>
    <row r="98" spans="1:2" x14ac:dyDescent="0.25">
      <c r="A98" s="125">
        <v>280</v>
      </c>
      <c r="B98" s="126" t="s">
        <v>2293</v>
      </c>
    </row>
    <row r="99" spans="1:2" x14ac:dyDescent="0.25">
      <c r="A99" s="125">
        <v>297</v>
      </c>
      <c r="B99" s="126" t="s">
        <v>2294</v>
      </c>
    </row>
    <row r="100" spans="1:2" x14ac:dyDescent="0.25">
      <c r="A100" s="125">
        <v>300</v>
      </c>
      <c r="B100" s="126" t="s">
        <v>2295</v>
      </c>
    </row>
    <row r="101" spans="1:2" x14ac:dyDescent="0.25">
      <c r="A101" s="125">
        <v>374</v>
      </c>
      <c r="B101" s="126" t="s">
        <v>2296</v>
      </c>
    </row>
    <row r="102" spans="1:2" x14ac:dyDescent="0.25">
      <c r="A102" s="125">
        <v>555</v>
      </c>
      <c r="B102" s="126" t="s">
        <v>2297</v>
      </c>
    </row>
    <row r="103" spans="1:2" x14ac:dyDescent="0.25">
      <c r="A103" s="125">
        <v>584</v>
      </c>
      <c r="B103" s="126" t="s">
        <v>2298</v>
      </c>
    </row>
    <row r="104" spans="1:2" x14ac:dyDescent="0.25">
      <c r="A104" s="125">
        <v>588</v>
      </c>
      <c r="B104" s="126" t="s">
        <v>2299</v>
      </c>
    </row>
    <row r="105" spans="1:2" x14ac:dyDescent="0.25">
      <c r="A105" s="125">
        <v>624</v>
      </c>
      <c r="B105" s="126" t="s">
        <v>2300</v>
      </c>
    </row>
    <row r="106" spans="1:2" x14ac:dyDescent="0.25">
      <c r="A106" s="125">
        <v>628</v>
      </c>
      <c r="B106" s="126" t="s">
        <v>2301</v>
      </c>
    </row>
    <row r="107" spans="1:2" x14ac:dyDescent="0.25">
      <c r="A107" s="125">
        <v>667</v>
      </c>
      <c r="B107" s="126" t="s">
        <v>2302</v>
      </c>
    </row>
    <row r="108" spans="1:2" x14ac:dyDescent="0.25">
      <c r="A108" s="125">
        <v>701</v>
      </c>
      <c r="B108" s="126" t="s">
        <v>2303</v>
      </c>
    </row>
    <row r="109" spans="1:2" x14ac:dyDescent="0.25">
      <c r="A109" s="125">
        <v>704</v>
      </c>
      <c r="B109" s="126" t="s">
        <v>2304</v>
      </c>
    </row>
    <row r="110" spans="1:2" x14ac:dyDescent="0.25">
      <c r="A110" s="125">
        <v>705</v>
      </c>
      <c r="B110" s="126" t="s">
        <v>2305</v>
      </c>
    </row>
    <row r="111" spans="1:2" x14ac:dyDescent="0.25">
      <c r="A111" s="125">
        <v>706</v>
      </c>
      <c r="B111" s="126" t="s">
        <v>2306</v>
      </c>
    </row>
    <row r="112" spans="1:2" x14ac:dyDescent="0.25">
      <c r="A112" s="125">
        <v>707</v>
      </c>
      <c r="B112" s="126" t="s">
        <v>2307</v>
      </c>
    </row>
    <row r="113" spans="1:2" x14ac:dyDescent="0.25">
      <c r="A113" s="125">
        <v>708</v>
      </c>
      <c r="B113" s="126" t="s">
        <v>2308</v>
      </c>
    </row>
    <row r="114" spans="1:2" x14ac:dyDescent="0.25">
      <c r="A114" s="125">
        <v>712</v>
      </c>
      <c r="B114" s="126" t="s">
        <v>2309</v>
      </c>
    </row>
    <row r="115" spans="1:2" x14ac:dyDescent="0.25">
      <c r="A115" s="125">
        <v>713</v>
      </c>
      <c r="B115" s="126" t="s">
        <v>2310</v>
      </c>
    </row>
    <row r="116" spans="1:2" x14ac:dyDescent="0.25">
      <c r="A116" s="125">
        <v>716</v>
      </c>
      <c r="B116" s="126" t="s">
        <v>2311</v>
      </c>
    </row>
    <row r="117" spans="1:2" x14ac:dyDescent="0.25">
      <c r="A117" s="125">
        <v>717</v>
      </c>
      <c r="B117" s="126" t="s">
        <v>2312</v>
      </c>
    </row>
    <row r="118" spans="1:2" x14ac:dyDescent="0.25">
      <c r="A118" s="125">
        <v>719</v>
      </c>
      <c r="B118" s="126" t="s">
        <v>2313</v>
      </c>
    </row>
    <row r="119" spans="1:2" x14ac:dyDescent="0.25">
      <c r="A119" s="125">
        <v>720</v>
      </c>
      <c r="B119" s="126" t="s">
        <v>2314</v>
      </c>
    </row>
    <row r="120" spans="1:2" x14ac:dyDescent="0.25">
      <c r="A120" s="125">
        <v>722</v>
      </c>
      <c r="B120" s="126" t="s">
        <v>2315</v>
      </c>
    </row>
    <row r="121" spans="1:2" x14ac:dyDescent="0.25">
      <c r="A121" s="125">
        <v>723</v>
      </c>
      <c r="B121" s="126" t="s">
        <v>2316</v>
      </c>
    </row>
    <row r="122" spans="1:2" x14ac:dyDescent="0.25">
      <c r="A122" s="125">
        <v>725</v>
      </c>
      <c r="B122" s="126" t="s">
        <v>2317</v>
      </c>
    </row>
    <row r="123" spans="1:2" x14ac:dyDescent="0.25">
      <c r="A123" s="125">
        <v>726</v>
      </c>
      <c r="B123" s="126" t="s">
        <v>2318</v>
      </c>
    </row>
    <row r="124" spans="1:2" x14ac:dyDescent="0.25">
      <c r="A124" s="125">
        <v>728</v>
      </c>
      <c r="B124" s="126" t="s">
        <v>2319</v>
      </c>
    </row>
    <row r="125" spans="1:2" x14ac:dyDescent="0.25">
      <c r="A125" s="125">
        <v>729</v>
      </c>
      <c r="B125" s="126" t="s">
        <v>2320</v>
      </c>
    </row>
    <row r="126" spans="1:2" x14ac:dyDescent="0.25">
      <c r="A126" s="125">
        <v>730</v>
      </c>
      <c r="B126" s="126" t="s">
        <v>2321</v>
      </c>
    </row>
    <row r="127" spans="1:2" x14ac:dyDescent="0.25">
      <c r="A127" s="125">
        <v>733</v>
      </c>
      <c r="B127" s="126" t="s">
        <v>2322</v>
      </c>
    </row>
    <row r="128" spans="1:2" x14ac:dyDescent="0.25">
      <c r="A128" s="125">
        <v>734</v>
      </c>
      <c r="B128" s="126" t="s">
        <v>2323</v>
      </c>
    </row>
    <row r="129" spans="1:2" x14ac:dyDescent="0.25">
      <c r="A129" s="125">
        <v>736</v>
      </c>
      <c r="B129" s="126" t="s">
        <v>2324</v>
      </c>
    </row>
    <row r="130" spans="1:2" x14ac:dyDescent="0.25">
      <c r="A130" s="125">
        <v>738</v>
      </c>
      <c r="B130" s="126" t="s">
        <v>2325</v>
      </c>
    </row>
    <row r="131" spans="1:2" x14ac:dyDescent="0.25">
      <c r="A131" s="125">
        <v>739</v>
      </c>
      <c r="B131" s="126" t="s">
        <v>2326</v>
      </c>
    </row>
    <row r="132" spans="1:2" x14ac:dyDescent="0.25">
      <c r="A132" s="125">
        <v>740</v>
      </c>
      <c r="B132" s="126" t="s">
        <v>2327</v>
      </c>
    </row>
    <row r="133" spans="1:2" x14ac:dyDescent="0.25">
      <c r="A133" s="125">
        <v>741</v>
      </c>
      <c r="B133" s="126" t="s">
        <v>2328</v>
      </c>
    </row>
    <row r="134" spans="1:2" x14ac:dyDescent="0.25">
      <c r="A134" s="125">
        <v>742</v>
      </c>
      <c r="B134" s="126" t="s">
        <v>2329</v>
      </c>
    </row>
    <row r="135" spans="1:2" x14ac:dyDescent="0.25">
      <c r="A135" s="125">
        <v>743</v>
      </c>
      <c r="B135" s="126" t="s">
        <v>2330</v>
      </c>
    </row>
    <row r="136" spans="1:2" x14ac:dyDescent="0.25">
      <c r="A136" s="125">
        <v>744</v>
      </c>
      <c r="B136" s="126" t="s">
        <v>2331</v>
      </c>
    </row>
    <row r="137" spans="1:2" x14ac:dyDescent="0.25">
      <c r="A137" s="125">
        <v>745</v>
      </c>
      <c r="B137" s="126" t="s">
        <v>2332</v>
      </c>
    </row>
    <row r="138" spans="1:2" x14ac:dyDescent="0.25">
      <c r="A138" s="125">
        <v>748</v>
      </c>
      <c r="B138" s="126" t="s">
        <v>2333</v>
      </c>
    </row>
    <row r="139" spans="1:2" x14ac:dyDescent="0.25">
      <c r="A139" s="125">
        <v>750</v>
      </c>
      <c r="B139" s="126" t="s">
        <v>2334</v>
      </c>
    </row>
    <row r="140" spans="1:2" x14ac:dyDescent="0.25">
      <c r="A140" s="125">
        <v>751</v>
      </c>
      <c r="B140" s="126" t="s">
        <v>2335</v>
      </c>
    </row>
    <row r="141" spans="1:2" x14ac:dyDescent="0.25">
      <c r="A141" s="125">
        <v>752</v>
      </c>
      <c r="B141" s="126" t="s">
        <v>2336</v>
      </c>
    </row>
    <row r="142" spans="1:2" x14ac:dyDescent="0.25">
      <c r="A142" s="125">
        <v>759</v>
      </c>
      <c r="B142" s="126" t="s">
        <v>2337</v>
      </c>
    </row>
    <row r="143" spans="1:2" x14ac:dyDescent="0.25">
      <c r="A143" s="125">
        <v>760</v>
      </c>
      <c r="B143" s="126" t="s">
        <v>2338</v>
      </c>
    </row>
    <row r="144" spans="1:2" x14ac:dyDescent="0.25">
      <c r="A144" s="125">
        <v>780</v>
      </c>
      <c r="B144" s="126" t="s">
        <v>2339</v>
      </c>
    </row>
    <row r="145" spans="1:2" x14ac:dyDescent="0.25">
      <c r="A145" s="125">
        <v>790</v>
      </c>
      <c r="B145" s="126" t="s">
        <v>2340</v>
      </c>
    </row>
    <row r="146" spans="1:2" x14ac:dyDescent="0.25">
      <c r="A146" s="127">
        <v>797</v>
      </c>
      <c r="B146" s="127" t="s">
        <v>2341</v>
      </c>
    </row>
    <row r="147" spans="1:2" x14ac:dyDescent="0.25">
      <c r="A147" s="125">
        <v>798</v>
      </c>
      <c r="B147" s="126" t="s">
        <v>2342</v>
      </c>
    </row>
    <row r="148" spans="1:2" x14ac:dyDescent="0.25">
      <c r="A148" s="127">
        <v>799</v>
      </c>
      <c r="B148" s="127" t="s">
        <v>2343</v>
      </c>
    </row>
    <row r="149" spans="1:2" x14ac:dyDescent="0.25">
      <c r="A149" s="125">
        <v>800</v>
      </c>
      <c r="B149" s="126" t="s">
        <v>2344</v>
      </c>
    </row>
    <row r="150" spans="1:2" x14ac:dyDescent="0.25">
      <c r="A150" s="127">
        <v>1123</v>
      </c>
      <c r="B150" s="127" t="s">
        <v>2345</v>
      </c>
    </row>
    <row r="151" spans="1:2" x14ac:dyDescent="0.25">
      <c r="A151" s="125">
        <v>1997</v>
      </c>
      <c r="B151" s="126" t="s">
        <v>2346</v>
      </c>
    </row>
    <row r="152" spans="1:2" x14ac:dyDescent="0.25">
      <c r="A152" s="125">
        <v>1998</v>
      </c>
      <c r="B152" s="126" t="s">
        <v>2347</v>
      </c>
    </row>
    <row r="153" spans="1:2" x14ac:dyDescent="0.25">
      <c r="A153" s="125">
        <v>1999</v>
      </c>
      <c r="B153" s="126" t="s">
        <v>2348</v>
      </c>
    </row>
    <row r="154" spans="1:2" x14ac:dyDescent="0.25">
      <c r="A154" s="125">
        <v>2000</v>
      </c>
      <c r="B154" s="126" t="s">
        <v>2349</v>
      </c>
    </row>
    <row r="155" spans="1:2" x14ac:dyDescent="0.25">
      <c r="A155" s="125">
        <v>2001</v>
      </c>
      <c r="B155" s="126" t="s">
        <v>2350</v>
      </c>
    </row>
    <row r="156" spans="1:2" x14ac:dyDescent="0.25">
      <c r="A156" s="125">
        <v>2002</v>
      </c>
      <c r="B156" s="126" t="s">
        <v>2351</v>
      </c>
    </row>
    <row r="157" spans="1:2" x14ac:dyDescent="0.25">
      <c r="A157" s="125">
        <v>2003</v>
      </c>
      <c r="B157" s="126" t="s">
        <v>2352</v>
      </c>
    </row>
    <row r="158" spans="1:2" x14ac:dyDescent="0.25">
      <c r="A158" s="125">
        <v>2004</v>
      </c>
      <c r="B158" s="126" t="s">
        <v>2353</v>
      </c>
    </row>
    <row r="159" spans="1:2" x14ac:dyDescent="0.25">
      <c r="A159" s="125">
        <v>2005</v>
      </c>
      <c r="B159" s="126" t="s">
        <v>2354</v>
      </c>
    </row>
    <row r="160" spans="1:2" x14ac:dyDescent="0.25">
      <c r="A160" s="125">
        <v>2006</v>
      </c>
      <c r="B160" s="126" t="s">
        <v>2355</v>
      </c>
    </row>
    <row r="161" spans="1:2" x14ac:dyDescent="0.25">
      <c r="A161" s="125">
        <v>2007</v>
      </c>
      <c r="B161" s="126" t="s">
        <v>2356</v>
      </c>
    </row>
    <row r="162" spans="1:2" x14ac:dyDescent="0.25">
      <c r="A162" s="125">
        <v>2008</v>
      </c>
      <c r="B162" s="126" t="s">
        <v>2357</v>
      </c>
    </row>
    <row r="163" spans="1:2" x14ac:dyDescent="0.25">
      <c r="A163" s="125">
        <v>2009</v>
      </c>
      <c r="B163" s="126" t="s">
        <v>2358</v>
      </c>
    </row>
    <row r="164" spans="1:2" x14ac:dyDescent="0.25">
      <c r="A164" s="127">
        <v>2019</v>
      </c>
      <c r="B164" s="127" t="s">
        <v>2359</v>
      </c>
    </row>
    <row r="165" spans="1:2" x14ac:dyDescent="0.25">
      <c r="A165" s="127">
        <v>2020</v>
      </c>
      <c r="B165" s="127" t="s">
        <v>2359</v>
      </c>
    </row>
    <row r="166" spans="1:2" x14ac:dyDescent="0.25">
      <c r="A166" s="215">
        <v>2021</v>
      </c>
      <c r="B166" s="23" t="s">
        <v>2359</v>
      </c>
    </row>
    <row r="167" spans="1:2" x14ac:dyDescent="0.25">
      <c r="A167" s="127">
        <v>3002</v>
      </c>
      <c r="B167" s="127">
        <v>300</v>
      </c>
    </row>
    <row r="168" spans="1:2" x14ac:dyDescent="0.25">
      <c r="A168" s="127">
        <v>3003</v>
      </c>
      <c r="B168" s="127">
        <v>3</v>
      </c>
    </row>
    <row r="169" spans="1:2" x14ac:dyDescent="0.25">
      <c r="A169" s="125">
        <v>3110</v>
      </c>
      <c r="B169" s="126" t="s">
        <v>2360</v>
      </c>
    </row>
    <row r="170" spans="1:2" x14ac:dyDescent="0.25">
      <c r="A170" s="125">
        <v>3151</v>
      </c>
      <c r="B170" s="126" t="s">
        <v>2361</v>
      </c>
    </row>
    <row r="171" spans="1:2" x14ac:dyDescent="0.25">
      <c r="A171" s="125">
        <v>3152</v>
      </c>
      <c r="B171" s="126" t="s">
        <v>2362</v>
      </c>
    </row>
    <row r="172" spans="1:2" x14ac:dyDescent="0.25">
      <c r="A172" s="125">
        <v>3154</v>
      </c>
      <c r="B172" s="126" t="s">
        <v>2363</v>
      </c>
    </row>
    <row r="173" spans="1:2" x14ac:dyDescent="0.25">
      <c r="A173" s="125">
        <v>3156</v>
      </c>
      <c r="B173" s="126" t="s">
        <v>2364</v>
      </c>
    </row>
    <row r="174" spans="1:2" x14ac:dyDescent="0.25">
      <c r="A174" s="125">
        <v>3159</v>
      </c>
      <c r="B174" s="126" t="s">
        <v>2365</v>
      </c>
    </row>
    <row r="175" spans="1:2" x14ac:dyDescent="0.25">
      <c r="A175" s="125">
        <v>3160</v>
      </c>
      <c r="B175" s="126" t="s">
        <v>2366</v>
      </c>
    </row>
    <row r="176" spans="1:2" x14ac:dyDescent="0.25">
      <c r="A176" s="125">
        <v>3180</v>
      </c>
      <c r="B176" s="126" t="s">
        <v>2367</v>
      </c>
    </row>
    <row r="177" spans="1:2" x14ac:dyDescent="0.25">
      <c r="A177" s="127">
        <v>3907</v>
      </c>
      <c r="B177" s="127">
        <v>3907</v>
      </c>
    </row>
    <row r="178" spans="1:2" x14ac:dyDescent="0.25">
      <c r="A178" s="125">
        <v>10001</v>
      </c>
      <c r="B178" s="126" t="s">
        <v>2368</v>
      </c>
    </row>
    <row r="179" spans="1:2" x14ac:dyDescent="0.25">
      <c r="A179" s="125">
        <v>10002</v>
      </c>
      <c r="B179" s="126" t="s">
        <v>2369</v>
      </c>
    </row>
    <row r="180" spans="1:2" x14ac:dyDescent="0.25">
      <c r="A180" s="125">
        <v>10003</v>
      </c>
      <c r="B180" s="126" t="s">
        <v>2370</v>
      </c>
    </row>
    <row r="181" spans="1:2" x14ac:dyDescent="0.25">
      <c r="A181" s="125">
        <v>10004</v>
      </c>
      <c r="B181" s="126" t="s">
        <v>2371</v>
      </c>
    </row>
    <row r="182" spans="1:2" x14ac:dyDescent="0.25">
      <c r="A182" s="125">
        <v>10005</v>
      </c>
      <c r="B182" s="126" t="s">
        <v>2372</v>
      </c>
    </row>
    <row r="183" spans="1:2" x14ac:dyDescent="0.25">
      <c r="A183" s="125">
        <v>10006</v>
      </c>
      <c r="B183" s="126" t="s">
        <v>2373</v>
      </c>
    </row>
    <row r="184" spans="1:2" x14ac:dyDescent="0.25">
      <c r="A184" s="125">
        <v>10100</v>
      </c>
      <c r="B184" s="126" t="s">
        <v>2374</v>
      </c>
    </row>
    <row r="185" spans="1:2" x14ac:dyDescent="0.25">
      <c r="A185" s="125">
        <v>10200</v>
      </c>
      <c r="B185" s="128" t="s">
        <v>2375</v>
      </c>
    </row>
    <row r="186" spans="1:2" x14ac:dyDescent="0.25">
      <c r="A186" s="125">
        <v>10300</v>
      </c>
      <c r="B186" s="128" t="s">
        <v>385</v>
      </c>
    </row>
    <row r="187" spans="1:2" x14ac:dyDescent="0.25">
      <c r="A187" s="125">
        <v>11000</v>
      </c>
      <c r="B187" s="128" t="s">
        <v>2376</v>
      </c>
    </row>
    <row r="188" spans="1:2" x14ac:dyDescent="0.25">
      <c r="A188" s="125">
        <v>11001</v>
      </c>
      <c r="B188" s="126" t="s">
        <v>2377</v>
      </c>
    </row>
    <row r="189" spans="1:2" x14ac:dyDescent="0.25">
      <c r="A189" s="125">
        <v>11002</v>
      </c>
      <c r="B189" s="126" t="s">
        <v>2378</v>
      </c>
    </row>
    <row r="190" spans="1:2" x14ac:dyDescent="0.25">
      <c r="A190" s="125">
        <v>11003</v>
      </c>
      <c r="B190" s="126" t="s">
        <v>2379</v>
      </c>
    </row>
    <row r="191" spans="1:2" x14ac:dyDescent="0.25">
      <c r="A191" s="125">
        <v>11004</v>
      </c>
      <c r="B191" s="126" t="s">
        <v>2380</v>
      </c>
    </row>
    <row r="192" spans="1:2" x14ac:dyDescent="0.25">
      <c r="A192" s="125">
        <v>11005</v>
      </c>
      <c r="B192" s="126" t="s">
        <v>2381</v>
      </c>
    </row>
    <row r="193" spans="1:2" x14ac:dyDescent="0.25">
      <c r="A193" s="125">
        <v>11006</v>
      </c>
      <c r="B193" s="126" t="s">
        <v>2382</v>
      </c>
    </row>
    <row r="194" spans="1:2" x14ac:dyDescent="0.25">
      <c r="A194" s="125">
        <v>11007</v>
      </c>
      <c r="B194" s="126" t="s">
        <v>2383</v>
      </c>
    </row>
    <row r="195" spans="1:2" x14ac:dyDescent="0.25">
      <c r="A195" s="125">
        <v>11008</v>
      </c>
      <c r="B195" s="126" t="s">
        <v>2384</v>
      </c>
    </row>
    <row r="196" spans="1:2" x14ac:dyDescent="0.25">
      <c r="A196" s="125">
        <v>11009</v>
      </c>
      <c r="B196" s="126" t="s">
        <v>2385</v>
      </c>
    </row>
    <row r="197" spans="1:2" x14ac:dyDescent="0.25">
      <c r="A197" s="125">
        <v>11010</v>
      </c>
      <c r="B197" s="126" t="s">
        <v>2386</v>
      </c>
    </row>
    <row r="198" spans="1:2" x14ac:dyDescent="0.25">
      <c r="A198" s="125">
        <v>11011</v>
      </c>
      <c r="B198" s="126" t="s">
        <v>2387</v>
      </c>
    </row>
    <row r="199" spans="1:2" x14ac:dyDescent="0.25">
      <c r="A199" s="125">
        <v>11012</v>
      </c>
      <c r="B199" s="126" t="s">
        <v>2388</v>
      </c>
    </row>
    <row r="200" spans="1:2" x14ac:dyDescent="0.25">
      <c r="A200" s="125">
        <v>11013</v>
      </c>
      <c r="B200" s="126" t="s">
        <v>2389</v>
      </c>
    </row>
    <row r="201" spans="1:2" x14ac:dyDescent="0.25">
      <c r="A201" s="125">
        <v>11014</v>
      </c>
      <c r="B201" s="126" t="s">
        <v>2390</v>
      </c>
    </row>
    <row r="202" spans="1:2" x14ac:dyDescent="0.25">
      <c r="A202" s="125">
        <v>11015</v>
      </c>
      <c r="B202" s="126" t="s">
        <v>2391</v>
      </c>
    </row>
    <row r="203" spans="1:2" x14ac:dyDescent="0.25">
      <c r="A203" s="125">
        <v>11016</v>
      </c>
      <c r="B203" s="126" t="s">
        <v>2392</v>
      </c>
    </row>
    <row r="204" spans="1:2" x14ac:dyDescent="0.25">
      <c r="A204" s="125">
        <v>11017</v>
      </c>
      <c r="B204" s="126" t="s">
        <v>2393</v>
      </c>
    </row>
    <row r="205" spans="1:2" x14ac:dyDescent="0.25">
      <c r="A205" s="125">
        <v>11018</v>
      </c>
      <c r="B205" s="126" t="s">
        <v>2394</v>
      </c>
    </row>
    <row r="206" spans="1:2" x14ac:dyDescent="0.25">
      <c r="A206" s="125">
        <v>11019</v>
      </c>
      <c r="B206" s="126" t="s">
        <v>2395</v>
      </c>
    </row>
    <row r="207" spans="1:2" x14ac:dyDescent="0.25">
      <c r="A207" s="125">
        <v>11020</v>
      </c>
      <c r="B207" s="126" t="s">
        <v>2377</v>
      </c>
    </row>
    <row r="208" spans="1:2" x14ac:dyDescent="0.25">
      <c r="A208" s="125">
        <v>11021</v>
      </c>
      <c r="B208" s="126" t="s">
        <v>2396</v>
      </c>
    </row>
    <row r="209" spans="1:2" x14ac:dyDescent="0.25">
      <c r="A209" s="125">
        <v>11022</v>
      </c>
      <c r="B209" s="126" t="s">
        <v>2397</v>
      </c>
    </row>
    <row r="210" spans="1:2" x14ac:dyDescent="0.25">
      <c r="A210" s="125">
        <v>11023</v>
      </c>
      <c r="B210" s="126" t="s">
        <v>2398</v>
      </c>
    </row>
    <row r="211" spans="1:2" x14ac:dyDescent="0.25">
      <c r="A211" s="125">
        <v>11024</v>
      </c>
      <c r="B211" s="126" t="s">
        <v>2399</v>
      </c>
    </row>
    <row r="212" spans="1:2" x14ac:dyDescent="0.25">
      <c r="A212" s="125">
        <v>11025</v>
      </c>
      <c r="B212" s="126" t="s">
        <v>2400</v>
      </c>
    </row>
    <row r="213" spans="1:2" x14ac:dyDescent="0.25">
      <c r="A213" s="125">
        <v>11026</v>
      </c>
      <c r="B213" s="126" t="s">
        <v>2401</v>
      </c>
    </row>
    <row r="214" spans="1:2" x14ac:dyDescent="0.25">
      <c r="A214" s="125">
        <v>11027</v>
      </c>
      <c r="B214" s="128" t="s">
        <v>2402</v>
      </c>
    </row>
    <row r="215" spans="1:2" x14ac:dyDescent="0.25">
      <c r="A215" s="125">
        <v>11028</v>
      </c>
      <c r="B215" s="128" t="s">
        <v>2403</v>
      </c>
    </row>
    <row r="216" spans="1:2" x14ac:dyDescent="0.25">
      <c r="A216" s="125">
        <v>11623</v>
      </c>
      <c r="B216" s="126" t="s">
        <v>2404</v>
      </c>
    </row>
    <row r="217" spans="1:2" x14ac:dyDescent="0.25">
      <c r="A217" s="125">
        <v>11624</v>
      </c>
      <c r="B217" s="126" t="s">
        <v>2405</v>
      </c>
    </row>
    <row r="218" spans="1:2" x14ac:dyDescent="0.25">
      <c r="A218" s="125">
        <v>11625</v>
      </c>
      <c r="B218" s="126" t="s">
        <v>2406</v>
      </c>
    </row>
    <row r="219" spans="1:2" x14ac:dyDescent="0.25">
      <c r="A219" s="125">
        <v>11626</v>
      </c>
      <c r="B219" s="126" t="s">
        <v>2407</v>
      </c>
    </row>
    <row r="220" spans="1:2" x14ac:dyDescent="0.25">
      <c r="A220" s="125">
        <v>11627</v>
      </c>
      <c r="B220" s="126" t="s">
        <v>2408</v>
      </c>
    </row>
    <row r="221" spans="1:2" x14ac:dyDescent="0.25">
      <c r="A221" s="125">
        <v>11628</v>
      </c>
      <c r="B221" s="126" t="s">
        <v>2409</v>
      </c>
    </row>
    <row r="222" spans="1:2" x14ac:dyDescent="0.25">
      <c r="A222" s="125">
        <v>11629</v>
      </c>
      <c r="B222" s="126" t="s">
        <v>2410</v>
      </c>
    </row>
    <row r="223" spans="1:2" x14ac:dyDescent="0.25">
      <c r="A223" s="125">
        <v>11630</v>
      </c>
      <c r="B223" s="126" t="s">
        <v>601</v>
      </c>
    </row>
    <row r="224" spans="1:2" x14ac:dyDescent="0.25">
      <c r="A224" s="125">
        <v>11631</v>
      </c>
      <c r="B224" s="126" t="s">
        <v>2411</v>
      </c>
    </row>
    <row r="225" spans="1:2" x14ac:dyDescent="0.25">
      <c r="A225" s="125">
        <v>11632</v>
      </c>
      <c r="B225" s="126" t="s">
        <v>2412</v>
      </c>
    </row>
    <row r="226" spans="1:2" x14ac:dyDescent="0.25">
      <c r="A226" s="125">
        <v>11633</v>
      </c>
      <c r="B226" s="126" t="s">
        <v>2413</v>
      </c>
    </row>
    <row r="227" spans="1:2" x14ac:dyDescent="0.25">
      <c r="A227" s="125">
        <v>11634</v>
      </c>
      <c r="B227" s="126" t="s">
        <v>2414</v>
      </c>
    </row>
    <row r="228" spans="1:2" x14ac:dyDescent="0.25">
      <c r="A228" s="125">
        <v>11635</v>
      </c>
      <c r="B228" s="126" t="s">
        <v>2415</v>
      </c>
    </row>
    <row r="229" spans="1:2" x14ac:dyDescent="0.25">
      <c r="A229" s="125">
        <v>11636</v>
      </c>
      <c r="B229" s="126" t="s">
        <v>2416</v>
      </c>
    </row>
    <row r="230" spans="1:2" x14ac:dyDescent="0.25">
      <c r="A230" s="125">
        <v>11637</v>
      </c>
      <c r="B230" s="126" t="s">
        <v>2417</v>
      </c>
    </row>
    <row r="231" spans="1:2" x14ac:dyDescent="0.25">
      <c r="A231" s="125">
        <v>11638</v>
      </c>
      <c r="B231" s="126" t="s">
        <v>170</v>
      </c>
    </row>
    <row r="232" spans="1:2" x14ac:dyDescent="0.25">
      <c r="A232" s="125">
        <v>11639</v>
      </c>
      <c r="B232" s="126" t="s">
        <v>2418</v>
      </c>
    </row>
    <row r="233" spans="1:2" x14ac:dyDescent="0.25">
      <c r="A233" s="125">
        <v>11640</v>
      </c>
      <c r="B233" s="126" t="s">
        <v>2419</v>
      </c>
    </row>
    <row r="234" spans="1:2" x14ac:dyDescent="0.25">
      <c r="A234" s="125">
        <v>11641</v>
      </c>
      <c r="B234" s="126" t="s">
        <v>2420</v>
      </c>
    </row>
    <row r="235" spans="1:2" x14ac:dyDescent="0.25">
      <c r="A235" s="125">
        <v>11642</v>
      </c>
      <c r="B235" s="126" t="s">
        <v>2421</v>
      </c>
    </row>
    <row r="236" spans="1:2" x14ac:dyDescent="0.25">
      <c r="A236" s="125">
        <v>11643</v>
      </c>
      <c r="B236" s="126" t="s">
        <v>2422</v>
      </c>
    </row>
    <row r="237" spans="1:2" x14ac:dyDescent="0.25">
      <c r="A237" s="125">
        <v>11644</v>
      </c>
      <c r="B237" s="126" t="s">
        <v>2423</v>
      </c>
    </row>
    <row r="238" spans="1:2" x14ac:dyDescent="0.25">
      <c r="A238" s="125">
        <v>11645</v>
      </c>
      <c r="B238" s="126" t="s">
        <v>2424</v>
      </c>
    </row>
    <row r="239" spans="1:2" x14ac:dyDescent="0.25">
      <c r="A239" s="125">
        <v>11646</v>
      </c>
      <c r="B239" s="126" t="s">
        <v>2425</v>
      </c>
    </row>
    <row r="240" spans="1:2" x14ac:dyDescent="0.25">
      <c r="A240" s="125">
        <v>11647</v>
      </c>
      <c r="B240" s="126" t="s">
        <v>2426</v>
      </c>
    </row>
    <row r="241" spans="1:2" x14ac:dyDescent="0.25">
      <c r="A241" s="125">
        <v>11648</v>
      </c>
      <c r="B241" s="126" t="s">
        <v>2427</v>
      </c>
    </row>
    <row r="242" spans="1:2" x14ac:dyDescent="0.25">
      <c r="A242" s="125">
        <v>11649</v>
      </c>
      <c r="B242" s="126" t="s">
        <v>2428</v>
      </c>
    </row>
    <row r="243" spans="1:2" x14ac:dyDescent="0.25">
      <c r="A243" s="125">
        <v>11650</v>
      </c>
      <c r="B243" s="126" t="s">
        <v>2429</v>
      </c>
    </row>
    <row r="244" spans="1:2" x14ac:dyDescent="0.25">
      <c r="A244" s="125">
        <v>11651</v>
      </c>
      <c r="B244" s="126" t="s">
        <v>2430</v>
      </c>
    </row>
    <row r="245" spans="1:2" x14ac:dyDescent="0.25">
      <c r="A245" s="125">
        <v>11652</v>
      </c>
      <c r="B245" s="126" t="s">
        <v>2431</v>
      </c>
    </row>
    <row r="246" spans="1:2" x14ac:dyDescent="0.25">
      <c r="A246" s="125">
        <v>11653</v>
      </c>
      <c r="B246" s="126" t="s">
        <v>2432</v>
      </c>
    </row>
    <row r="247" spans="1:2" x14ac:dyDescent="0.25">
      <c r="A247" s="125">
        <v>11654</v>
      </c>
      <c r="B247" s="126" t="s">
        <v>2433</v>
      </c>
    </row>
    <row r="248" spans="1:2" x14ac:dyDescent="0.25">
      <c r="A248" s="125">
        <v>11655</v>
      </c>
      <c r="B248" s="128" t="s">
        <v>2434</v>
      </c>
    </row>
    <row r="249" spans="1:2" x14ac:dyDescent="0.25">
      <c r="A249" s="125">
        <v>11738</v>
      </c>
      <c r="B249" s="126" t="s">
        <v>2435</v>
      </c>
    </row>
    <row r="250" spans="1:2" x14ac:dyDescent="0.25">
      <c r="A250" s="125">
        <v>11739</v>
      </c>
      <c r="B250" s="126" t="s">
        <v>2436</v>
      </c>
    </row>
    <row r="251" spans="1:2" x14ac:dyDescent="0.25">
      <c r="A251" s="125">
        <v>11740</v>
      </c>
      <c r="B251" s="126" t="s">
        <v>2437</v>
      </c>
    </row>
    <row r="252" spans="1:2" x14ac:dyDescent="0.25">
      <c r="A252" s="125">
        <v>11743</v>
      </c>
      <c r="B252" s="126" t="s">
        <v>2438</v>
      </c>
    </row>
    <row r="253" spans="1:2" x14ac:dyDescent="0.25">
      <c r="A253" s="125">
        <v>11744</v>
      </c>
      <c r="B253" s="126" t="s">
        <v>2439</v>
      </c>
    </row>
    <row r="254" spans="1:2" x14ac:dyDescent="0.25">
      <c r="A254" s="125">
        <v>11745</v>
      </c>
      <c r="B254" s="126" t="s">
        <v>2440</v>
      </c>
    </row>
    <row r="255" spans="1:2" x14ac:dyDescent="0.25">
      <c r="A255" s="125">
        <v>11746</v>
      </c>
      <c r="B255" s="126" t="s">
        <v>2441</v>
      </c>
    </row>
    <row r="256" spans="1:2" x14ac:dyDescent="0.25">
      <c r="A256" s="125">
        <v>11747</v>
      </c>
      <c r="B256" s="126" t="s">
        <v>2442</v>
      </c>
    </row>
    <row r="257" spans="1:2" x14ac:dyDescent="0.25">
      <c r="A257" s="125">
        <v>11748</v>
      </c>
      <c r="B257" s="126" t="s">
        <v>2443</v>
      </c>
    </row>
    <row r="258" spans="1:2" x14ac:dyDescent="0.25">
      <c r="A258" s="125">
        <v>11749</v>
      </c>
      <c r="B258" s="128" t="s">
        <v>2444</v>
      </c>
    </row>
    <row r="259" spans="1:2" x14ac:dyDescent="0.25">
      <c r="A259" s="125">
        <v>11750</v>
      </c>
      <c r="B259" s="126" t="s">
        <v>2445</v>
      </c>
    </row>
    <row r="260" spans="1:2" x14ac:dyDescent="0.25">
      <c r="A260" s="125">
        <v>11900</v>
      </c>
      <c r="B260" s="126" t="s">
        <v>2446</v>
      </c>
    </row>
    <row r="261" spans="1:2" x14ac:dyDescent="0.25">
      <c r="A261" s="125">
        <v>11901</v>
      </c>
      <c r="B261" s="126" t="s">
        <v>2447</v>
      </c>
    </row>
    <row r="262" spans="1:2" x14ac:dyDescent="0.25">
      <c r="A262" s="125">
        <v>11902</v>
      </c>
      <c r="B262" s="126" t="s">
        <v>2448</v>
      </c>
    </row>
    <row r="263" spans="1:2" x14ac:dyDescent="0.25">
      <c r="A263" s="125">
        <v>11903</v>
      </c>
      <c r="B263" s="126" t="s">
        <v>2449</v>
      </c>
    </row>
    <row r="264" spans="1:2" x14ac:dyDescent="0.25">
      <c r="A264" s="125">
        <v>11904</v>
      </c>
      <c r="B264" s="126" t="s">
        <v>2450</v>
      </c>
    </row>
    <row r="265" spans="1:2" x14ac:dyDescent="0.25">
      <c r="A265" s="125">
        <v>11905</v>
      </c>
      <c r="B265" s="126" t="s">
        <v>2451</v>
      </c>
    </row>
    <row r="266" spans="1:2" x14ac:dyDescent="0.25">
      <c r="A266" s="125">
        <v>11906</v>
      </c>
      <c r="B266" s="126" t="s">
        <v>2452</v>
      </c>
    </row>
    <row r="267" spans="1:2" x14ac:dyDescent="0.25">
      <c r="A267" s="125">
        <v>11907</v>
      </c>
      <c r="B267" s="126" t="s">
        <v>2453</v>
      </c>
    </row>
    <row r="268" spans="1:2" x14ac:dyDescent="0.25">
      <c r="A268" s="125">
        <v>11908</v>
      </c>
      <c r="B268" s="126" t="s">
        <v>2454</v>
      </c>
    </row>
    <row r="269" spans="1:2" x14ac:dyDescent="0.25">
      <c r="A269" s="125">
        <v>11909</v>
      </c>
      <c r="B269" s="126" t="s">
        <v>2455</v>
      </c>
    </row>
    <row r="270" spans="1:2" x14ac:dyDescent="0.25">
      <c r="A270" s="125">
        <v>11910</v>
      </c>
      <c r="B270" s="126" t="s">
        <v>2456</v>
      </c>
    </row>
    <row r="271" spans="1:2" x14ac:dyDescent="0.25">
      <c r="A271" s="125">
        <v>11911</v>
      </c>
      <c r="B271" s="126" t="s">
        <v>2457</v>
      </c>
    </row>
    <row r="272" spans="1:2" x14ac:dyDescent="0.25">
      <c r="A272" s="125">
        <v>11912</v>
      </c>
      <c r="B272" s="126" t="s">
        <v>2458</v>
      </c>
    </row>
    <row r="273" spans="1:2" x14ac:dyDescent="0.25">
      <c r="A273" s="125">
        <v>11913</v>
      </c>
      <c r="B273" s="126" t="s">
        <v>2459</v>
      </c>
    </row>
    <row r="274" spans="1:2" x14ac:dyDescent="0.25">
      <c r="A274" s="125">
        <v>11914</v>
      </c>
      <c r="B274" s="126" t="s">
        <v>2460</v>
      </c>
    </row>
    <row r="275" spans="1:2" x14ac:dyDescent="0.25">
      <c r="A275" s="125">
        <v>11915</v>
      </c>
      <c r="B275" s="126" t="s">
        <v>2461</v>
      </c>
    </row>
    <row r="276" spans="1:2" x14ac:dyDescent="0.25">
      <c r="A276" s="125">
        <v>11916</v>
      </c>
      <c r="B276" s="126" t="s">
        <v>2462</v>
      </c>
    </row>
    <row r="277" spans="1:2" x14ac:dyDescent="0.25">
      <c r="A277" s="125">
        <v>11917</v>
      </c>
      <c r="B277" s="126" t="s">
        <v>2463</v>
      </c>
    </row>
    <row r="278" spans="1:2" x14ac:dyDescent="0.25">
      <c r="A278" s="125">
        <v>11918</v>
      </c>
      <c r="B278" s="126" t="s">
        <v>2464</v>
      </c>
    </row>
    <row r="279" spans="1:2" x14ac:dyDescent="0.25">
      <c r="A279" s="125">
        <v>11919</v>
      </c>
      <c r="B279" s="126" t="s">
        <v>2465</v>
      </c>
    </row>
    <row r="280" spans="1:2" x14ac:dyDescent="0.25">
      <c r="A280" s="125">
        <v>11920</v>
      </c>
      <c r="B280" s="126" t="s">
        <v>2466</v>
      </c>
    </row>
    <row r="281" spans="1:2" x14ac:dyDescent="0.25">
      <c r="A281" s="125">
        <v>11921</v>
      </c>
      <c r="B281" s="129" t="s">
        <v>2467</v>
      </c>
    </row>
    <row r="282" spans="1:2" x14ac:dyDescent="0.25">
      <c r="A282" s="125">
        <v>11922</v>
      </c>
      <c r="B282" s="126" t="s">
        <v>2468</v>
      </c>
    </row>
    <row r="283" spans="1:2" x14ac:dyDescent="0.25">
      <c r="A283" s="125">
        <v>11923</v>
      </c>
      <c r="B283" s="126" t="s">
        <v>2469</v>
      </c>
    </row>
    <row r="284" spans="1:2" x14ac:dyDescent="0.25">
      <c r="A284" s="125">
        <v>11924</v>
      </c>
      <c r="B284" s="126" t="s">
        <v>2470</v>
      </c>
    </row>
    <row r="285" spans="1:2" x14ac:dyDescent="0.25">
      <c r="A285" s="125">
        <v>11925</v>
      </c>
      <c r="B285" s="126" t="s">
        <v>2471</v>
      </c>
    </row>
    <row r="286" spans="1:2" x14ac:dyDescent="0.25">
      <c r="A286" s="125">
        <v>12001</v>
      </c>
      <c r="B286" s="128" t="s">
        <v>2472</v>
      </c>
    </row>
    <row r="287" spans="1:2" x14ac:dyDescent="0.25">
      <c r="A287" s="125">
        <v>12002</v>
      </c>
      <c r="B287" s="126" t="s">
        <v>2473</v>
      </c>
    </row>
    <row r="288" spans="1:2" x14ac:dyDescent="0.25">
      <c r="A288" s="125">
        <v>12003</v>
      </c>
      <c r="B288" s="126" t="s">
        <v>2474</v>
      </c>
    </row>
    <row r="289" spans="1:2" x14ac:dyDescent="0.25">
      <c r="A289" s="125">
        <v>12004</v>
      </c>
      <c r="B289" s="126" t="s">
        <v>2475</v>
      </c>
    </row>
    <row r="290" spans="1:2" x14ac:dyDescent="0.25">
      <c r="A290" s="125">
        <v>12005</v>
      </c>
      <c r="B290" s="126" t="s">
        <v>2476</v>
      </c>
    </row>
    <row r="291" spans="1:2" x14ac:dyDescent="0.25">
      <c r="A291" s="125">
        <v>12006</v>
      </c>
      <c r="B291" s="126" t="s">
        <v>2477</v>
      </c>
    </row>
    <row r="292" spans="1:2" x14ac:dyDescent="0.25">
      <c r="A292" s="125">
        <v>12007</v>
      </c>
      <c r="B292" s="128" t="s">
        <v>2478</v>
      </c>
    </row>
    <row r="293" spans="1:2" x14ac:dyDescent="0.25">
      <c r="A293" s="125">
        <v>12010</v>
      </c>
      <c r="B293" s="128" t="s">
        <v>3637</v>
      </c>
    </row>
    <row r="294" spans="1:2" x14ac:dyDescent="0.25">
      <c r="A294" s="130">
        <v>12011</v>
      </c>
      <c r="B294" s="131" t="s">
        <v>2479</v>
      </c>
    </row>
    <row r="295" spans="1:2" x14ac:dyDescent="0.25">
      <c r="A295" s="130">
        <v>12012</v>
      </c>
      <c r="B295" s="131" t="s">
        <v>2480</v>
      </c>
    </row>
    <row r="296" spans="1:2" x14ac:dyDescent="0.25">
      <c r="A296" s="130">
        <v>12013</v>
      </c>
      <c r="B296" s="131" t="s">
        <v>2481</v>
      </c>
    </row>
    <row r="297" spans="1:2" x14ac:dyDescent="0.25">
      <c r="A297" s="130">
        <v>12014</v>
      </c>
      <c r="B297" s="131" t="s">
        <v>2482</v>
      </c>
    </row>
    <row r="298" spans="1:2" x14ac:dyDescent="0.25">
      <c r="A298" s="130">
        <v>12015</v>
      </c>
      <c r="B298" s="131" t="s">
        <v>2483</v>
      </c>
    </row>
    <row r="299" spans="1:2" x14ac:dyDescent="0.25">
      <c r="A299" s="130">
        <v>12016</v>
      </c>
      <c r="B299" s="131" t="s">
        <v>2484</v>
      </c>
    </row>
    <row r="300" spans="1:2" x14ac:dyDescent="0.25">
      <c r="A300" s="130">
        <v>12017</v>
      </c>
      <c r="B300" s="131" t="s">
        <v>2485</v>
      </c>
    </row>
    <row r="301" spans="1:2" x14ac:dyDescent="0.25">
      <c r="A301" s="130">
        <v>12018</v>
      </c>
      <c r="B301" s="131" t="s">
        <v>2486</v>
      </c>
    </row>
    <row r="302" spans="1:2" x14ac:dyDescent="0.25">
      <c r="A302" s="130">
        <v>12019</v>
      </c>
      <c r="B302" s="131" t="s">
        <v>3638</v>
      </c>
    </row>
    <row r="303" spans="1:2" x14ac:dyDescent="0.25">
      <c r="A303" s="130">
        <v>12020</v>
      </c>
      <c r="B303" s="131" t="s">
        <v>3639</v>
      </c>
    </row>
    <row r="304" spans="1:2" x14ac:dyDescent="0.25">
      <c r="A304" s="125">
        <v>13000</v>
      </c>
      <c r="B304" s="126" t="s">
        <v>2372</v>
      </c>
    </row>
    <row r="305" spans="1:2" x14ac:dyDescent="0.25">
      <c r="A305" s="125">
        <v>13001</v>
      </c>
      <c r="B305" s="126" t="s">
        <v>2487</v>
      </c>
    </row>
    <row r="306" spans="1:2" x14ac:dyDescent="0.25">
      <c r="A306" s="125">
        <v>13002</v>
      </c>
      <c r="B306" s="126" t="s">
        <v>2488</v>
      </c>
    </row>
    <row r="307" spans="1:2" x14ac:dyDescent="0.25">
      <c r="A307" s="125">
        <v>13003</v>
      </c>
      <c r="B307" s="126" t="s">
        <v>2489</v>
      </c>
    </row>
    <row r="308" spans="1:2" x14ac:dyDescent="0.25">
      <c r="A308" s="125">
        <v>13004</v>
      </c>
      <c r="B308" s="126" t="s">
        <v>2490</v>
      </c>
    </row>
    <row r="309" spans="1:2" x14ac:dyDescent="0.25">
      <c r="A309" s="125">
        <v>13005</v>
      </c>
      <c r="B309" s="126" t="s">
        <v>2491</v>
      </c>
    </row>
    <row r="310" spans="1:2" x14ac:dyDescent="0.25">
      <c r="A310" s="125">
        <v>13006</v>
      </c>
      <c r="B310" s="126" t="s">
        <v>2492</v>
      </c>
    </row>
    <row r="311" spans="1:2" x14ac:dyDescent="0.25">
      <c r="A311" s="125">
        <v>13007</v>
      </c>
      <c r="B311" s="126" t="s">
        <v>2493</v>
      </c>
    </row>
    <row r="312" spans="1:2" x14ac:dyDescent="0.25">
      <c r="A312" s="125">
        <v>13008</v>
      </c>
      <c r="B312" s="126" t="s">
        <v>2494</v>
      </c>
    </row>
    <row r="313" spans="1:2" x14ac:dyDescent="0.25">
      <c r="A313" s="125">
        <v>13009</v>
      </c>
      <c r="B313" s="126" t="s">
        <v>2495</v>
      </c>
    </row>
    <row r="314" spans="1:2" x14ac:dyDescent="0.25">
      <c r="A314" s="125">
        <v>13010</v>
      </c>
      <c r="B314" s="126" t="s">
        <v>2496</v>
      </c>
    </row>
    <row r="315" spans="1:2" x14ac:dyDescent="0.25">
      <c r="A315" s="125">
        <v>13011</v>
      </c>
      <c r="B315" s="126" t="s">
        <v>2497</v>
      </c>
    </row>
    <row r="316" spans="1:2" x14ac:dyDescent="0.25">
      <c r="A316" s="125">
        <v>13012</v>
      </c>
      <c r="B316" s="126" t="s">
        <v>2498</v>
      </c>
    </row>
    <row r="317" spans="1:2" x14ac:dyDescent="0.25">
      <c r="A317" s="125">
        <v>13013</v>
      </c>
      <c r="B317" s="126" t="s">
        <v>2499</v>
      </c>
    </row>
    <row r="318" spans="1:2" x14ac:dyDescent="0.25">
      <c r="A318" s="125">
        <v>13014</v>
      </c>
      <c r="B318" s="126" t="s">
        <v>2500</v>
      </c>
    </row>
    <row r="319" spans="1:2" x14ac:dyDescent="0.25">
      <c r="A319" s="125">
        <v>13015</v>
      </c>
      <c r="B319" s="126" t="s">
        <v>2501</v>
      </c>
    </row>
    <row r="320" spans="1:2" x14ac:dyDescent="0.25">
      <c r="A320" s="125">
        <v>13016</v>
      </c>
      <c r="B320" s="126" t="s">
        <v>2502</v>
      </c>
    </row>
    <row r="321" spans="1:3" x14ac:dyDescent="0.25">
      <c r="A321" s="125">
        <v>13017</v>
      </c>
      <c r="B321" s="126" t="s">
        <v>2503</v>
      </c>
    </row>
    <row r="322" spans="1:3" x14ac:dyDescent="0.25">
      <c r="A322" s="125">
        <v>13018</v>
      </c>
      <c r="B322" s="126" t="s">
        <v>2504</v>
      </c>
    </row>
    <row r="323" spans="1:3" x14ac:dyDescent="0.25">
      <c r="A323" s="125">
        <v>13019</v>
      </c>
      <c r="B323" s="126" t="s">
        <v>2505</v>
      </c>
    </row>
    <row r="324" spans="1:3" x14ac:dyDescent="0.25">
      <c r="A324" s="125">
        <v>13020</v>
      </c>
      <c r="B324" s="126" t="s">
        <v>2506</v>
      </c>
    </row>
    <row r="325" spans="1:3" x14ac:dyDescent="0.25">
      <c r="A325" s="125">
        <v>13021</v>
      </c>
      <c r="B325" s="126" t="s">
        <v>2507</v>
      </c>
    </row>
    <row r="326" spans="1:3" x14ac:dyDescent="0.25">
      <c r="A326" s="125">
        <v>13022</v>
      </c>
      <c r="B326" s="126" t="s">
        <v>2508</v>
      </c>
    </row>
    <row r="327" spans="1:3" x14ac:dyDescent="0.25">
      <c r="A327" s="125">
        <v>13023</v>
      </c>
      <c r="B327" s="126" t="s">
        <v>2509</v>
      </c>
    </row>
    <row r="328" spans="1:3" x14ac:dyDescent="0.25">
      <c r="A328" s="125">
        <v>13024</v>
      </c>
      <c r="B328" s="128" t="s">
        <v>2510</v>
      </c>
    </row>
    <row r="329" spans="1:3" x14ac:dyDescent="0.25">
      <c r="A329" s="125">
        <v>13025</v>
      </c>
      <c r="B329" s="128" t="s">
        <v>2511</v>
      </c>
    </row>
    <row r="330" spans="1:3" x14ac:dyDescent="0.25">
      <c r="A330" s="125">
        <v>13026</v>
      </c>
      <c r="B330" s="128" t="s">
        <v>2512</v>
      </c>
    </row>
    <row r="331" spans="1:3" x14ac:dyDescent="0.25">
      <c r="A331" s="125">
        <v>13027</v>
      </c>
      <c r="B331" s="128" t="s">
        <v>2513</v>
      </c>
    </row>
    <row r="332" spans="1:3" x14ac:dyDescent="0.25">
      <c r="A332" s="125">
        <v>13028</v>
      </c>
      <c r="B332" s="128" t="s">
        <v>3868</v>
      </c>
    </row>
    <row r="333" spans="1:3" x14ac:dyDescent="0.25">
      <c r="A333" s="125">
        <v>13071</v>
      </c>
      <c r="B333" s="126" t="s">
        <v>2514</v>
      </c>
    </row>
    <row r="334" spans="1:3" x14ac:dyDescent="0.25">
      <c r="A334" s="125">
        <v>13072</v>
      </c>
      <c r="B334" s="126" t="s">
        <v>2515</v>
      </c>
    </row>
    <row r="335" spans="1:3" x14ac:dyDescent="0.25">
      <c r="A335" s="125">
        <v>13073</v>
      </c>
      <c r="B335" s="126" t="s">
        <v>2516</v>
      </c>
    </row>
    <row r="336" spans="1:3" x14ac:dyDescent="0.25">
      <c r="A336" s="125">
        <v>13075</v>
      </c>
      <c r="B336" s="126" t="s">
        <v>2517</v>
      </c>
      <c r="C336" s="132" t="s">
        <v>188</v>
      </c>
    </row>
    <row r="337" spans="1:2" x14ac:dyDescent="0.25">
      <c r="A337" s="125">
        <v>13076</v>
      </c>
      <c r="B337" s="126" t="s">
        <v>2518</v>
      </c>
    </row>
    <row r="338" spans="1:2" x14ac:dyDescent="0.25">
      <c r="A338" s="125">
        <v>13077</v>
      </c>
      <c r="B338" s="126" t="s">
        <v>2519</v>
      </c>
    </row>
    <row r="339" spans="1:2" x14ac:dyDescent="0.25">
      <c r="A339" s="125">
        <v>13235</v>
      </c>
      <c r="B339" s="126" t="s">
        <v>2520</v>
      </c>
    </row>
    <row r="340" spans="1:2" x14ac:dyDescent="0.25">
      <c r="A340" s="125">
        <v>13306</v>
      </c>
      <c r="B340" s="126" t="s">
        <v>2521</v>
      </c>
    </row>
    <row r="341" spans="1:2" x14ac:dyDescent="0.25">
      <c r="A341" s="125">
        <v>13736</v>
      </c>
      <c r="B341" s="126" t="s">
        <v>2522</v>
      </c>
    </row>
    <row r="342" spans="1:2" x14ac:dyDescent="0.25">
      <c r="A342" s="125">
        <v>13737</v>
      </c>
      <c r="B342" s="126" t="s">
        <v>2523</v>
      </c>
    </row>
    <row r="343" spans="1:2" x14ac:dyDescent="0.25">
      <c r="A343" s="125">
        <v>13788</v>
      </c>
      <c r="B343" s="126" t="s">
        <v>2524</v>
      </c>
    </row>
    <row r="344" spans="1:2" x14ac:dyDescent="0.25">
      <c r="A344" s="125">
        <v>13789</v>
      </c>
      <c r="B344" s="126" t="s">
        <v>2525</v>
      </c>
    </row>
    <row r="345" spans="1:2" x14ac:dyDescent="0.25">
      <c r="A345" s="125">
        <v>13800</v>
      </c>
      <c r="B345" s="126" t="s">
        <v>2526</v>
      </c>
    </row>
    <row r="346" spans="1:2" x14ac:dyDescent="0.25">
      <c r="A346" s="125">
        <v>13801</v>
      </c>
      <c r="B346" s="126" t="s">
        <v>2527</v>
      </c>
    </row>
    <row r="347" spans="1:2" x14ac:dyDescent="0.25">
      <c r="A347" s="125">
        <v>13802</v>
      </c>
      <c r="B347" s="126" t="s">
        <v>2528</v>
      </c>
    </row>
    <row r="348" spans="1:2" x14ac:dyDescent="0.25">
      <c r="A348" s="125">
        <v>13803</v>
      </c>
      <c r="B348" s="126" t="s">
        <v>2529</v>
      </c>
    </row>
    <row r="349" spans="1:2" x14ac:dyDescent="0.25">
      <c r="A349" s="133">
        <v>13822</v>
      </c>
      <c r="B349" s="134" t="s">
        <v>2530</v>
      </c>
    </row>
    <row r="350" spans="1:2" x14ac:dyDescent="0.25">
      <c r="A350" s="125">
        <v>13851</v>
      </c>
      <c r="B350" s="126" t="s">
        <v>2531</v>
      </c>
    </row>
    <row r="351" spans="1:2" x14ac:dyDescent="0.25">
      <c r="A351" s="125">
        <v>13852</v>
      </c>
      <c r="B351" s="126" t="s">
        <v>2532</v>
      </c>
    </row>
    <row r="352" spans="1:2" x14ac:dyDescent="0.25">
      <c r="A352" s="125">
        <v>13911</v>
      </c>
      <c r="B352" s="126" t="s">
        <v>2533</v>
      </c>
    </row>
    <row r="353" spans="1:2" x14ac:dyDescent="0.25">
      <c r="A353" s="125">
        <v>13912</v>
      </c>
      <c r="B353" s="126" t="s">
        <v>616</v>
      </c>
    </row>
    <row r="354" spans="1:2" x14ac:dyDescent="0.25">
      <c r="A354" s="125">
        <v>13913</v>
      </c>
      <c r="B354" s="126" t="s">
        <v>2534</v>
      </c>
    </row>
    <row r="355" spans="1:2" x14ac:dyDescent="0.25">
      <c r="A355" s="125">
        <v>13914</v>
      </c>
      <c r="B355" s="126" t="s">
        <v>2535</v>
      </c>
    </row>
    <row r="356" spans="1:2" x14ac:dyDescent="0.25">
      <c r="A356" s="125">
        <v>14336</v>
      </c>
      <c r="B356" s="126" t="s">
        <v>2536</v>
      </c>
    </row>
    <row r="357" spans="1:2" x14ac:dyDescent="0.25">
      <c r="A357" s="125">
        <v>15000</v>
      </c>
      <c r="B357" s="126" t="s">
        <v>2537</v>
      </c>
    </row>
    <row r="358" spans="1:2" x14ac:dyDescent="0.25">
      <c r="A358" s="125">
        <v>15001</v>
      </c>
      <c r="B358" s="126" t="s">
        <v>2538</v>
      </c>
    </row>
    <row r="359" spans="1:2" x14ac:dyDescent="0.25">
      <c r="A359" s="125">
        <v>15002</v>
      </c>
      <c r="B359" s="126" t="s">
        <v>2539</v>
      </c>
    </row>
    <row r="360" spans="1:2" x14ac:dyDescent="0.25">
      <c r="A360" s="125">
        <v>16001</v>
      </c>
      <c r="B360" s="126" t="s">
        <v>2540</v>
      </c>
    </row>
    <row r="361" spans="1:2" x14ac:dyDescent="0.25">
      <c r="A361" s="125">
        <v>16002</v>
      </c>
      <c r="B361" s="126" t="s">
        <v>2541</v>
      </c>
    </row>
    <row r="362" spans="1:2" x14ac:dyDescent="0.25">
      <c r="A362" s="125">
        <v>16003</v>
      </c>
      <c r="B362" s="126" t="s">
        <v>2542</v>
      </c>
    </row>
    <row r="363" spans="1:2" x14ac:dyDescent="0.25">
      <c r="A363" s="125">
        <v>16004</v>
      </c>
      <c r="B363" s="126" t="s">
        <v>2543</v>
      </c>
    </row>
    <row r="364" spans="1:2" x14ac:dyDescent="0.25">
      <c r="A364" s="125">
        <v>16005</v>
      </c>
      <c r="B364" s="126" t="s">
        <v>2544</v>
      </c>
    </row>
    <row r="365" spans="1:2" x14ac:dyDescent="0.25">
      <c r="A365" s="125">
        <v>16006</v>
      </c>
      <c r="B365" s="126" t="s">
        <v>2545</v>
      </c>
    </row>
    <row r="366" spans="1:2" x14ac:dyDescent="0.25">
      <c r="A366" s="125">
        <v>16007</v>
      </c>
      <c r="B366" s="126" t="s">
        <v>2546</v>
      </c>
    </row>
    <row r="367" spans="1:2" x14ac:dyDescent="0.25">
      <c r="A367" s="125">
        <v>16008</v>
      </c>
      <c r="B367" s="126" t="s">
        <v>2547</v>
      </c>
    </row>
    <row r="368" spans="1:2" x14ac:dyDescent="0.25">
      <c r="A368" s="125">
        <v>16009</v>
      </c>
      <c r="B368" s="126" t="s">
        <v>2548</v>
      </c>
    </row>
    <row r="369" spans="1:2" x14ac:dyDescent="0.25">
      <c r="A369" s="125">
        <v>16010</v>
      </c>
      <c r="B369" s="126" t="s">
        <v>2549</v>
      </c>
    </row>
    <row r="370" spans="1:2" x14ac:dyDescent="0.25">
      <c r="A370" s="125">
        <v>16011</v>
      </c>
      <c r="B370" s="126" t="s">
        <v>2550</v>
      </c>
    </row>
    <row r="371" spans="1:2" x14ac:dyDescent="0.25">
      <c r="A371" s="125">
        <v>16012</v>
      </c>
      <c r="B371" s="126" t="s">
        <v>2551</v>
      </c>
    </row>
    <row r="372" spans="1:2" x14ac:dyDescent="0.25">
      <c r="A372" s="125">
        <v>16013</v>
      </c>
      <c r="B372" s="135" t="s">
        <v>2552</v>
      </c>
    </row>
    <row r="373" spans="1:2" x14ac:dyDescent="0.25">
      <c r="A373" s="125">
        <v>16050</v>
      </c>
      <c r="B373" s="126" t="s">
        <v>2553</v>
      </c>
    </row>
    <row r="374" spans="1:2" x14ac:dyDescent="0.25">
      <c r="A374" s="125">
        <v>16410</v>
      </c>
      <c r="B374" s="126" t="s">
        <v>2554</v>
      </c>
    </row>
    <row r="375" spans="1:2" x14ac:dyDescent="0.25">
      <c r="A375" s="125">
        <v>16411</v>
      </c>
      <c r="B375" s="126" t="s">
        <v>2555</v>
      </c>
    </row>
    <row r="376" spans="1:2" x14ac:dyDescent="0.25">
      <c r="A376" s="125">
        <v>16412</v>
      </c>
      <c r="B376" s="126" t="s">
        <v>2556</v>
      </c>
    </row>
    <row r="377" spans="1:2" x14ac:dyDescent="0.25">
      <c r="A377" s="125">
        <v>16413</v>
      </c>
      <c r="B377" s="126" t="s">
        <v>2557</v>
      </c>
    </row>
    <row r="378" spans="1:2" x14ac:dyDescent="0.25">
      <c r="A378" s="125">
        <v>16414</v>
      </c>
      <c r="B378" s="126" t="s">
        <v>2558</v>
      </c>
    </row>
    <row r="379" spans="1:2" x14ac:dyDescent="0.25">
      <c r="A379" s="125">
        <v>16415</v>
      </c>
      <c r="B379" s="126" t="s">
        <v>2559</v>
      </c>
    </row>
    <row r="380" spans="1:2" x14ac:dyDescent="0.25">
      <c r="A380" s="125">
        <v>16420</v>
      </c>
      <c r="B380" s="126" t="s">
        <v>617</v>
      </c>
    </row>
    <row r="381" spans="1:2" x14ac:dyDescent="0.25">
      <c r="A381" s="125">
        <v>16421</v>
      </c>
      <c r="B381" s="126" t="s">
        <v>119</v>
      </c>
    </row>
    <row r="382" spans="1:2" x14ac:dyDescent="0.25">
      <c r="A382" s="125">
        <v>16422</v>
      </c>
      <c r="B382" s="126" t="s">
        <v>2560</v>
      </c>
    </row>
    <row r="383" spans="1:2" x14ac:dyDescent="0.25">
      <c r="A383" s="125">
        <v>16423</v>
      </c>
      <c r="B383" s="128" t="s">
        <v>602</v>
      </c>
    </row>
    <row r="384" spans="1:2" x14ac:dyDescent="0.25">
      <c r="A384" s="125">
        <v>16424</v>
      </c>
      <c r="B384" s="128" t="s">
        <v>3869</v>
      </c>
    </row>
    <row r="385" spans="1:2" x14ac:dyDescent="0.25">
      <c r="A385" s="125">
        <v>16428</v>
      </c>
      <c r="B385" s="126" t="s">
        <v>2561</v>
      </c>
    </row>
    <row r="386" spans="1:2" x14ac:dyDescent="0.25">
      <c r="A386" s="125">
        <v>16429</v>
      </c>
      <c r="B386" s="126" t="s">
        <v>2562</v>
      </c>
    </row>
    <row r="387" spans="1:2" x14ac:dyDescent="0.25">
      <c r="A387" s="125">
        <v>16430</v>
      </c>
      <c r="B387" s="126" t="s">
        <v>2563</v>
      </c>
    </row>
    <row r="388" spans="1:2" x14ac:dyDescent="0.25">
      <c r="A388" s="125">
        <v>16431</v>
      </c>
      <c r="B388" s="126" t="s">
        <v>2564</v>
      </c>
    </row>
    <row r="389" spans="1:2" x14ac:dyDescent="0.25">
      <c r="A389" s="125">
        <v>16432</v>
      </c>
      <c r="B389" s="126" t="s">
        <v>618</v>
      </c>
    </row>
    <row r="390" spans="1:2" x14ac:dyDescent="0.25">
      <c r="A390" s="136">
        <v>16433</v>
      </c>
      <c r="B390" s="123" t="s">
        <v>2565</v>
      </c>
    </row>
    <row r="391" spans="1:2" x14ac:dyDescent="0.25">
      <c r="A391" s="125">
        <v>16521</v>
      </c>
      <c r="B391" s="126" t="s">
        <v>2566</v>
      </c>
    </row>
    <row r="392" spans="1:2" x14ac:dyDescent="0.25">
      <c r="A392" s="125">
        <v>16600</v>
      </c>
      <c r="B392" s="126" t="s">
        <v>2567</v>
      </c>
    </row>
    <row r="393" spans="1:2" x14ac:dyDescent="0.25">
      <c r="A393" s="125">
        <v>16601</v>
      </c>
      <c r="B393" s="126" t="s">
        <v>2568</v>
      </c>
    </row>
    <row r="394" spans="1:2" x14ac:dyDescent="0.25">
      <c r="A394" s="125">
        <v>16805</v>
      </c>
      <c r="B394" s="126" t="s">
        <v>2569</v>
      </c>
    </row>
    <row r="395" spans="1:2" x14ac:dyDescent="0.25">
      <c r="A395" s="125">
        <v>16806</v>
      </c>
      <c r="B395" s="126" t="s">
        <v>2570</v>
      </c>
    </row>
    <row r="396" spans="1:2" x14ac:dyDescent="0.25">
      <c r="A396" s="125">
        <v>16807</v>
      </c>
      <c r="B396" s="126" t="s">
        <v>2571</v>
      </c>
    </row>
    <row r="397" spans="1:2" x14ac:dyDescent="0.25">
      <c r="A397" s="125">
        <v>16808</v>
      </c>
      <c r="B397" s="126" t="s">
        <v>2572</v>
      </c>
    </row>
    <row r="398" spans="1:2" x14ac:dyDescent="0.25">
      <c r="A398" s="125">
        <v>17611</v>
      </c>
      <c r="B398" s="126" t="s">
        <v>2573</v>
      </c>
    </row>
    <row r="399" spans="1:2" x14ac:dyDescent="0.25">
      <c r="A399" s="125">
        <v>17711</v>
      </c>
      <c r="B399" s="126" t="s">
        <v>2574</v>
      </c>
    </row>
    <row r="400" spans="1:2" x14ac:dyDescent="0.25">
      <c r="A400" s="125">
        <v>17712</v>
      </c>
      <c r="B400" s="126" t="s">
        <v>2575</v>
      </c>
    </row>
    <row r="401" spans="1:2" x14ac:dyDescent="0.25">
      <c r="A401" s="125">
        <v>17713</v>
      </c>
      <c r="B401" s="126" t="s">
        <v>2576</v>
      </c>
    </row>
    <row r="402" spans="1:2" x14ac:dyDescent="0.25">
      <c r="A402" s="125">
        <v>17714</v>
      </c>
      <c r="B402" s="126" t="s">
        <v>2577</v>
      </c>
    </row>
    <row r="403" spans="1:2" x14ac:dyDescent="0.25">
      <c r="A403" s="125">
        <v>17715</v>
      </c>
      <c r="B403" s="126" t="s">
        <v>2578</v>
      </c>
    </row>
    <row r="404" spans="1:2" x14ac:dyDescent="0.25">
      <c r="A404" s="125">
        <v>17716</v>
      </c>
      <c r="B404" s="126" t="s">
        <v>2579</v>
      </c>
    </row>
    <row r="405" spans="1:2" x14ac:dyDescent="0.25">
      <c r="A405" s="125">
        <v>17717</v>
      </c>
      <c r="B405" s="126" t="s">
        <v>2580</v>
      </c>
    </row>
    <row r="406" spans="1:2" x14ac:dyDescent="0.25">
      <c r="A406" s="125">
        <v>17718</v>
      </c>
      <c r="B406" s="126" t="s">
        <v>2581</v>
      </c>
    </row>
    <row r="407" spans="1:2" x14ac:dyDescent="0.25">
      <c r="A407" s="125">
        <v>17719</v>
      </c>
      <c r="B407" s="128" t="s">
        <v>3636</v>
      </c>
    </row>
    <row r="408" spans="1:2" x14ac:dyDescent="0.25">
      <c r="A408" s="125">
        <v>17722</v>
      </c>
      <c r="B408" s="126" t="s">
        <v>614</v>
      </c>
    </row>
    <row r="409" spans="1:2" x14ac:dyDescent="0.25">
      <c r="A409" s="125">
        <v>17723</v>
      </c>
      <c r="B409" s="126" t="s">
        <v>2582</v>
      </c>
    </row>
    <row r="410" spans="1:2" x14ac:dyDescent="0.25">
      <c r="A410" s="125">
        <v>17725</v>
      </c>
      <c r="B410" s="126" t="s">
        <v>2583</v>
      </c>
    </row>
    <row r="411" spans="1:2" ht="45" x14ac:dyDescent="0.25">
      <c r="A411" s="125">
        <v>17729</v>
      </c>
      <c r="B411" s="126" t="s">
        <v>2584</v>
      </c>
    </row>
    <row r="412" spans="1:2" x14ac:dyDescent="0.25">
      <c r="A412" s="125">
        <v>17738</v>
      </c>
      <c r="B412" s="126" t="s">
        <v>2585</v>
      </c>
    </row>
    <row r="413" spans="1:2" x14ac:dyDescent="0.25">
      <c r="A413" s="127">
        <v>17748</v>
      </c>
      <c r="B413" s="127" t="s">
        <v>2586</v>
      </c>
    </row>
    <row r="414" spans="1:2" x14ac:dyDescent="0.25">
      <c r="A414" s="125">
        <v>17750</v>
      </c>
      <c r="B414" s="126" t="s">
        <v>2587</v>
      </c>
    </row>
    <row r="415" spans="1:2" x14ac:dyDescent="0.25">
      <c r="A415" s="125">
        <v>17751</v>
      </c>
      <c r="B415" s="126" t="s">
        <v>2588</v>
      </c>
    </row>
    <row r="416" spans="1:2" x14ac:dyDescent="0.25">
      <c r="A416" s="125">
        <v>17757</v>
      </c>
      <c r="B416" s="126" t="s">
        <v>2589</v>
      </c>
    </row>
    <row r="417" spans="1:3" ht="30" x14ac:dyDescent="0.25">
      <c r="A417" s="125">
        <v>17758</v>
      </c>
      <c r="B417" s="126" t="s">
        <v>2590</v>
      </c>
    </row>
    <row r="418" spans="1:3" x14ac:dyDescent="0.25">
      <c r="A418" s="125">
        <v>17759</v>
      </c>
      <c r="B418" s="126" t="s">
        <v>2591</v>
      </c>
    </row>
    <row r="419" spans="1:3" x14ac:dyDescent="0.25">
      <c r="A419" s="125">
        <v>17760</v>
      </c>
      <c r="B419" s="126" t="s">
        <v>2592</v>
      </c>
    </row>
    <row r="420" spans="1:3" x14ac:dyDescent="0.25">
      <c r="A420" s="125">
        <v>17761</v>
      </c>
      <c r="B420" s="126" t="s">
        <v>2593</v>
      </c>
    </row>
    <row r="421" spans="1:3" ht="30" x14ac:dyDescent="0.25">
      <c r="A421" s="125">
        <v>18000</v>
      </c>
      <c r="B421" s="128" t="s">
        <v>2594</v>
      </c>
    </row>
    <row r="422" spans="1:3" x14ac:dyDescent="0.25">
      <c r="A422" s="125">
        <v>18514</v>
      </c>
      <c r="B422" s="126" t="s">
        <v>2595</v>
      </c>
    </row>
    <row r="423" spans="1:3" x14ac:dyDescent="0.25">
      <c r="A423" s="125">
        <v>18584</v>
      </c>
      <c r="B423" s="126" t="s">
        <v>2596</v>
      </c>
    </row>
    <row r="424" spans="1:3" x14ac:dyDescent="0.25">
      <c r="A424" s="125">
        <v>18629</v>
      </c>
      <c r="B424" s="126" t="s">
        <v>2597</v>
      </c>
    </row>
    <row r="425" spans="1:3" x14ac:dyDescent="0.25">
      <c r="A425" s="235">
        <v>18667</v>
      </c>
      <c r="B425" s="126" t="s">
        <v>2598</v>
      </c>
      <c r="C425" s="124" t="s">
        <v>4356</v>
      </c>
    </row>
    <row r="426" spans="1:3" x14ac:dyDescent="0.25">
      <c r="A426" s="235">
        <v>18668</v>
      </c>
      <c r="B426" s="126" t="s">
        <v>2599</v>
      </c>
    </row>
    <row r="427" spans="1:3" x14ac:dyDescent="0.25">
      <c r="A427" s="235">
        <v>18669</v>
      </c>
      <c r="B427" s="126" t="s">
        <v>2600</v>
      </c>
    </row>
    <row r="428" spans="1:3" x14ac:dyDescent="0.25">
      <c r="A428" s="125">
        <v>18700</v>
      </c>
      <c r="B428" s="126" t="s">
        <v>733</v>
      </c>
    </row>
    <row r="429" spans="1:3" x14ac:dyDescent="0.25">
      <c r="A429" s="125">
        <v>19556</v>
      </c>
      <c r="B429" s="126" t="s">
        <v>619</v>
      </c>
    </row>
    <row r="430" spans="1:3" x14ac:dyDescent="0.25">
      <c r="A430" s="125">
        <v>19735</v>
      </c>
      <c r="B430" s="126" t="s">
        <v>2601</v>
      </c>
    </row>
    <row r="431" spans="1:3" x14ac:dyDescent="0.25">
      <c r="A431" s="125">
        <v>19900</v>
      </c>
      <c r="B431" s="126" t="s">
        <v>2602</v>
      </c>
    </row>
    <row r="432" spans="1:3" x14ac:dyDescent="0.25">
      <c r="A432" s="125">
        <v>19901</v>
      </c>
      <c r="B432" s="126" t="s">
        <v>2603</v>
      </c>
    </row>
    <row r="433" spans="1:2" x14ac:dyDescent="0.25">
      <c r="A433" s="125">
        <v>19902</v>
      </c>
      <c r="B433" s="126" t="s">
        <v>2604</v>
      </c>
    </row>
    <row r="434" spans="1:2" x14ac:dyDescent="0.25">
      <c r="A434" s="125">
        <v>19924</v>
      </c>
      <c r="B434" s="126" t="s">
        <v>2605</v>
      </c>
    </row>
    <row r="435" spans="1:2" x14ac:dyDescent="0.25">
      <c r="A435" s="125">
        <v>19930</v>
      </c>
      <c r="B435" s="126" t="s">
        <v>2606</v>
      </c>
    </row>
    <row r="436" spans="1:2" x14ac:dyDescent="0.25">
      <c r="A436" s="125">
        <v>19932</v>
      </c>
      <c r="B436" s="126" t="s">
        <v>2607</v>
      </c>
    </row>
    <row r="437" spans="1:2" x14ac:dyDescent="0.25">
      <c r="A437" s="125">
        <v>19936</v>
      </c>
      <c r="B437" s="126" t="s">
        <v>2608</v>
      </c>
    </row>
    <row r="438" spans="1:2" x14ac:dyDescent="0.25">
      <c r="A438" s="125">
        <v>20000</v>
      </c>
      <c r="B438" s="128" t="s">
        <v>3870</v>
      </c>
    </row>
    <row r="439" spans="1:2" x14ac:dyDescent="0.25">
      <c r="A439" s="125">
        <v>20001</v>
      </c>
      <c r="B439" s="126" t="s">
        <v>2609</v>
      </c>
    </row>
    <row r="440" spans="1:2" x14ac:dyDescent="0.25">
      <c r="A440" s="125">
        <v>20002</v>
      </c>
      <c r="B440" s="126" t="s">
        <v>2610</v>
      </c>
    </row>
    <row r="441" spans="1:2" x14ac:dyDescent="0.25">
      <c r="A441" s="125">
        <v>20003</v>
      </c>
      <c r="B441" s="126" t="s">
        <v>2611</v>
      </c>
    </row>
    <row r="442" spans="1:2" x14ac:dyDescent="0.25">
      <c r="A442" s="125">
        <v>20004</v>
      </c>
      <c r="B442" s="128" t="s">
        <v>3871</v>
      </c>
    </row>
    <row r="443" spans="1:2" x14ac:dyDescent="0.25">
      <c r="A443" s="125">
        <v>20005</v>
      </c>
      <c r="B443" s="126" t="s">
        <v>2612</v>
      </c>
    </row>
    <row r="444" spans="1:2" x14ac:dyDescent="0.25">
      <c r="A444" s="125">
        <v>20006</v>
      </c>
      <c r="B444" s="126" t="s">
        <v>2613</v>
      </c>
    </row>
    <row r="445" spans="1:2" x14ac:dyDescent="0.25">
      <c r="A445" s="125">
        <v>20007</v>
      </c>
      <c r="B445" s="126" t="s">
        <v>2614</v>
      </c>
    </row>
    <row r="446" spans="1:2" x14ac:dyDescent="0.25">
      <c r="A446" s="125">
        <v>20008</v>
      </c>
      <c r="B446" s="126" t="s">
        <v>2615</v>
      </c>
    </row>
    <row r="447" spans="1:2" x14ac:dyDescent="0.25">
      <c r="A447" s="125">
        <v>20009</v>
      </c>
      <c r="B447" s="126" t="s">
        <v>2616</v>
      </c>
    </row>
    <row r="448" spans="1:2" x14ac:dyDescent="0.25">
      <c r="A448" s="125">
        <v>20010</v>
      </c>
      <c r="B448" s="126" t="s">
        <v>2617</v>
      </c>
    </row>
    <row r="449" spans="1:2" x14ac:dyDescent="0.25">
      <c r="A449" s="125">
        <v>20011</v>
      </c>
      <c r="B449" s="126" t="s">
        <v>2618</v>
      </c>
    </row>
    <row r="450" spans="1:2" x14ac:dyDescent="0.25">
      <c r="A450" s="125">
        <v>20012</v>
      </c>
      <c r="B450" s="126" t="s">
        <v>2619</v>
      </c>
    </row>
    <row r="451" spans="1:2" x14ac:dyDescent="0.25">
      <c r="A451" s="125">
        <v>20013</v>
      </c>
      <c r="B451" s="126" t="s">
        <v>2620</v>
      </c>
    </row>
    <row r="452" spans="1:2" x14ac:dyDescent="0.25">
      <c r="A452" s="125">
        <v>20014</v>
      </c>
      <c r="B452" s="126" t="s">
        <v>2621</v>
      </c>
    </row>
    <row r="453" spans="1:2" x14ac:dyDescent="0.25">
      <c r="A453" s="125">
        <v>20015</v>
      </c>
      <c r="B453" s="126" t="s">
        <v>2622</v>
      </c>
    </row>
    <row r="454" spans="1:2" x14ac:dyDescent="0.25">
      <c r="A454" s="125">
        <v>20016</v>
      </c>
      <c r="B454" s="126" t="s">
        <v>2623</v>
      </c>
    </row>
    <row r="455" spans="1:2" x14ac:dyDescent="0.25">
      <c r="A455" s="125">
        <v>20017</v>
      </c>
      <c r="B455" s="126" t="s">
        <v>2624</v>
      </c>
    </row>
    <row r="456" spans="1:2" x14ac:dyDescent="0.25">
      <c r="A456" s="137">
        <v>20018</v>
      </c>
      <c r="B456" s="129" t="s">
        <v>2625</v>
      </c>
    </row>
    <row r="457" spans="1:2" x14ac:dyDescent="0.25">
      <c r="A457" s="125">
        <v>20019</v>
      </c>
      <c r="B457" s="126" t="s">
        <v>2626</v>
      </c>
    </row>
    <row r="458" spans="1:2" x14ac:dyDescent="0.25">
      <c r="A458" s="125">
        <v>20020</v>
      </c>
      <c r="B458" s="126" t="s">
        <v>2627</v>
      </c>
    </row>
    <row r="459" spans="1:2" x14ac:dyDescent="0.25">
      <c r="A459" s="125">
        <v>20021</v>
      </c>
      <c r="B459" s="126" t="s">
        <v>2628</v>
      </c>
    </row>
    <row r="460" spans="1:2" x14ac:dyDescent="0.25">
      <c r="A460" s="125">
        <v>20022</v>
      </c>
      <c r="B460" s="126" t="s">
        <v>2629</v>
      </c>
    </row>
    <row r="461" spans="1:2" x14ac:dyDescent="0.25">
      <c r="A461" s="125">
        <v>20023</v>
      </c>
      <c r="B461" s="126" t="s">
        <v>2630</v>
      </c>
    </row>
    <row r="462" spans="1:2" x14ac:dyDescent="0.25">
      <c r="A462" s="125">
        <v>20024</v>
      </c>
      <c r="B462" s="126" t="s">
        <v>2631</v>
      </c>
    </row>
    <row r="463" spans="1:2" x14ac:dyDescent="0.25">
      <c r="A463" s="125">
        <v>20025</v>
      </c>
      <c r="B463" s="126" t="s">
        <v>2632</v>
      </c>
    </row>
    <row r="464" spans="1:2" x14ac:dyDescent="0.25">
      <c r="A464" s="125">
        <v>20026</v>
      </c>
      <c r="B464" s="126" t="s">
        <v>2633</v>
      </c>
    </row>
    <row r="465" spans="1:2" x14ac:dyDescent="0.25">
      <c r="A465" s="125">
        <v>20027</v>
      </c>
      <c r="B465" s="126" t="s">
        <v>2634</v>
      </c>
    </row>
    <row r="466" spans="1:2" x14ac:dyDescent="0.25">
      <c r="A466" s="125">
        <v>20028</v>
      </c>
      <c r="B466" s="126" t="s">
        <v>2635</v>
      </c>
    </row>
    <row r="467" spans="1:2" x14ac:dyDescent="0.25">
      <c r="A467" s="125">
        <v>20029</v>
      </c>
      <c r="B467" s="126" t="s">
        <v>2636</v>
      </c>
    </row>
    <row r="468" spans="1:2" x14ac:dyDescent="0.25">
      <c r="A468" s="125">
        <v>20030</v>
      </c>
      <c r="B468" s="126" t="s">
        <v>2637</v>
      </c>
    </row>
    <row r="469" spans="1:2" x14ac:dyDescent="0.25">
      <c r="A469" s="125">
        <v>20031</v>
      </c>
      <c r="B469" s="126" t="s">
        <v>2638</v>
      </c>
    </row>
    <row r="470" spans="1:2" x14ac:dyDescent="0.25">
      <c r="A470" s="125">
        <v>20032</v>
      </c>
      <c r="B470" s="126" t="s">
        <v>2639</v>
      </c>
    </row>
    <row r="471" spans="1:2" x14ac:dyDescent="0.25">
      <c r="A471" s="125">
        <v>20033</v>
      </c>
      <c r="B471" s="126" t="s">
        <v>2640</v>
      </c>
    </row>
    <row r="472" spans="1:2" x14ac:dyDescent="0.25">
      <c r="A472" s="125">
        <v>20034</v>
      </c>
      <c r="B472" s="126" t="s">
        <v>2641</v>
      </c>
    </row>
    <row r="473" spans="1:2" x14ac:dyDescent="0.25">
      <c r="A473" s="125">
        <v>20035</v>
      </c>
      <c r="B473" s="126" t="s">
        <v>2642</v>
      </c>
    </row>
    <row r="474" spans="1:2" x14ac:dyDescent="0.25">
      <c r="A474" s="125">
        <v>20036</v>
      </c>
      <c r="B474" s="126" t="s">
        <v>2643</v>
      </c>
    </row>
    <row r="475" spans="1:2" x14ac:dyDescent="0.25">
      <c r="A475" s="125">
        <v>20037</v>
      </c>
      <c r="B475" s="126" t="s">
        <v>2644</v>
      </c>
    </row>
    <row r="476" spans="1:2" x14ac:dyDescent="0.25">
      <c r="A476" s="125">
        <v>20038</v>
      </c>
      <c r="B476" s="126" t="s">
        <v>2645</v>
      </c>
    </row>
    <row r="477" spans="1:2" x14ac:dyDescent="0.25">
      <c r="A477" s="125">
        <v>20039</v>
      </c>
      <c r="B477" s="126" t="s">
        <v>2646</v>
      </c>
    </row>
    <row r="478" spans="1:2" x14ac:dyDescent="0.25">
      <c r="A478" s="125">
        <v>20040</v>
      </c>
      <c r="B478" s="126" t="s">
        <v>2647</v>
      </c>
    </row>
    <row r="479" spans="1:2" x14ac:dyDescent="0.25">
      <c r="A479" s="125">
        <v>20041</v>
      </c>
      <c r="B479" s="126" t="s">
        <v>2648</v>
      </c>
    </row>
    <row r="480" spans="1:2" x14ac:dyDescent="0.25">
      <c r="A480" s="125">
        <v>20042</v>
      </c>
      <c r="B480" s="126" t="s">
        <v>2649</v>
      </c>
    </row>
    <row r="481" spans="1:2" x14ac:dyDescent="0.25">
      <c r="A481" s="125">
        <v>20043</v>
      </c>
      <c r="B481" s="126" t="s">
        <v>2650</v>
      </c>
    </row>
    <row r="482" spans="1:2" x14ac:dyDescent="0.25">
      <c r="A482" s="125">
        <v>20044</v>
      </c>
      <c r="B482" s="126" t="s">
        <v>2651</v>
      </c>
    </row>
    <row r="483" spans="1:2" x14ac:dyDescent="0.25">
      <c r="A483" s="125">
        <v>20045</v>
      </c>
      <c r="B483" s="126" t="s">
        <v>2652</v>
      </c>
    </row>
    <row r="484" spans="1:2" x14ac:dyDescent="0.25">
      <c r="A484" s="125">
        <v>20046</v>
      </c>
      <c r="B484" s="126" t="s">
        <v>2653</v>
      </c>
    </row>
    <row r="485" spans="1:2" x14ac:dyDescent="0.25">
      <c r="A485" s="125">
        <v>20047</v>
      </c>
      <c r="B485" s="126" t="s">
        <v>2654</v>
      </c>
    </row>
    <row r="486" spans="1:2" ht="30" x14ac:dyDescent="0.25">
      <c r="A486" s="125">
        <v>20048</v>
      </c>
      <c r="B486" s="126" t="s">
        <v>2655</v>
      </c>
    </row>
    <row r="487" spans="1:2" x14ac:dyDescent="0.25">
      <c r="A487" s="125">
        <v>20049</v>
      </c>
      <c r="B487" s="126" t="s">
        <v>2656</v>
      </c>
    </row>
    <row r="488" spans="1:2" x14ac:dyDescent="0.25">
      <c r="A488" s="125">
        <v>20050</v>
      </c>
      <c r="B488" s="126" t="s">
        <v>2657</v>
      </c>
    </row>
    <row r="489" spans="1:2" x14ac:dyDescent="0.25">
      <c r="A489" s="125">
        <v>20051</v>
      </c>
      <c r="B489" s="126" t="s">
        <v>2658</v>
      </c>
    </row>
    <row r="490" spans="1:2" x14ac:dyDescent="0.25">
      <c r="A490" s="125">
        <v>20052</v>
      </c>
      <c r="B490" s="126" t="s">
        <v>2659</v>
      </c>
    </row>
    <row r="491" spans="1:2" x14ac:dyDescent="0.25">
      <c r="A491" s="125">
        <v>20053</v>
      </c>
      <c r="B491" s="126" t="s">
        <v>2660</v>
      </c>
    </row>
    <row r="492" spans="1:2" x14ac:dyDescent="0.25">
      <c r="A492" s="125">
        <v>20054</v>
      </c>
      <c r="B492" s="126" t="s">
        <v>2661</v>
      </c>
    </row>
    <row r="493" spans="1:2" x14ac:dyDescent="0.25">
      <c r="A493" s="125">
        <v>20055</v>
      </c>
      <c r="B493" s="126" t="s">
        <v>2662</v>
      </c>
    </row>
    <row r="494" spans="1:2" x14ac:dyDescent="0.25">
      <c r="A494" s="125">
        <v>20056</v>
      </c>
      <c r="B494" s="126" t="s">
        <v>2663</v>
      </c>
    </row>
    <row r="495" spans="1:2" x14ac:dyDescent="0.25">
      <c r="A495" s="125">
        <v>20057</v>
      </c>
      <c r="B495" s="126" t="s">
        <v>2664</v>
      </c>
    </row>
    <row r="496" spans="1:2" x14ac:dyDescent="0.25">
      <c r="A496" s="125">
        <v>20058</v>
      </c>
      <c r="B496" s="126" t="s">
        <v>2665</v>
      </c>
    </row>
    <row r="497" spans="1:2" x14ac:dyDescent="0.25">
      <c r="A497" s="125">
        <v>20059</v>
      </c>
      <c r="B497" s="126" t="s">
        <v>2666</v>
      </c>
    </row>
    <row r="498" spans="1:2" x14ac:dyDescent="0.25">
      <c r="A498" s="125">
        <v>20060</v>
      </c>
      <c r="B498" s="126" t="s">
        <v>603</v>
      </c>
    </row>
    <row r="499" spans="1:2" x14ac:dyDescent="0.25">
      <c r="A499" s="125">
        <v>20061</v>
      </c>
      <c r="B499" s="126" t="s">
        <v>2667</v>
      </c>
    </row>
    <row r="500" spans="1:2" x14ac:dyDescent="0.25">
      <c r="A500" s="125">
        <v>20062</v>
      </c>
      <c r="B500" s="126" t="s">
        <v>2668</v>
      </c>
    </row>
    <row r="501" spans="1:2" x14ac:dyDescent="0.25">
      <c r="A501" s="125">
        <v>20063</v>
      </c>
      <c r="B501" s="126" t="s">
        <v>2669</v>
      </c>
    </row>
    <row r="502" spans="1:2" x14ac:dyDescent="0.25">
      <c r="A502" s="125">
        <v>20064</v>
      </c>
      <c r="B502" s="126" t="s">
        <v>2670</v>
      </c>
    </row>
    <row r="503" spans="1:2" x14ac:dyDescent="0.25">
      <c r="A503" s="125">
        <v>20065</v>
      </c>
      <c r="B503" s="126" t="s">
        <v>2671</v>
      </c>
    </row>
    <row r="504" spans="1:2" x14ac:dyDescent="0.25">
      <c r="A504" s="125">
        <v>20066</v>
      </c>
      <c r="B504" s="126" t="s">
        <v>2672</v>
      </c>
    </row>
    <row r="505" spans="1:2" x14ac:dyDescent="0.25">
      <c r="A505" s="125">
        <v>20067</v>
      </c>
      <c r="B505" s="126" t="s">
        <v>2673</v>
      </c>
    </row>
    <row r="506" spans="1:2" x14ac:dyDescent="0.25">
      <c r="A506" s="125">
        <v>20068</v>
      </c>
      <c r="B506" s="126" t="s">
        <v>2674</v>
      </c>
    </row>
    <row r="507" spans="1:2" x14ac:dyDescent="0.25">
      <c r="A507" s="125">
        <v>20069</v>
      </c>
      <c r="B507" s="126" t="s">
        <v>2675</v>
      </c>
    </row>
    <row r="508" spans="1:2" x14ac:dyDescent="0.25">
      <c r="A508" s="125">
        <v>20070</v>
      </c>
      <c r="B508" s="126" t="s">
        <v>2676</v>
      </c>
    </row>
    <row r="509" spans="1:2" x14ac:dyDescent="0.25">
      <c r="A509" s="125">
        <v>20071</v>
      </c>
      <c r="B509" s="126" t="s">
        <v>2677</v>
      </c>
    </row>
    <row r="510" spans="1:2" x14ac:dyDescent="0.25">
      <c r="A510" s="125">
        <v>20072</v>
      </c>
      <c r="B510" s="126" t="s">
        <v>2678</v>
      </c>
    </row>
    <row r="511" spans="1:2" x14ac:dyDescent="0.25">
      <c r="A511" s="125">
        <v>20073</v>
      </c>
      <c r="B511" s="126" t="s">
        <v>2679</v>
      </c>
    </row>
    <row r="512" spans="1:2" x14ac:dyDescent="0.25">
      <c r="A512" s="125">
        <v>20074</v>
      </c>
      <c r="B512" s="126" t="s">
        <v>2680</v>
      </c>
    </row>
    <row r="513" spans="1:2" x14ac:dyDescent="0.25">
      <c r="A513" s="125">
        <v>20075</v>
      </c>
      <c r="B513" s="126" t="s">
        <v>2681</v>
      </c>
    </row>
    <row r="514" spans="1:2" x14ac:dyDescent="0.25">
      <c r="A514" s="125">
        <v>20076</v>
      </c>
      <c r="B514" s="126" t="s">
        <v>2682</v>
      </c>
    </row>
    <row r="515" spans="1:2" x14ac:dyDescent="0.25">
      <c r="A515" s="125">
        <v>20077</v>
      </c>
      <c r="B515" s="126" t="s">
        <v>2683</v>
      </c>
    </row>
    <row r="516" spans="1:2" x14ac:dyDescent="0.25">
      <c r="A516" s="125">
        <v>20078</v>
      </c>
      <c r="B516" s="126" t="s">
        <v>2684</v>
      </c>
    </row>
    <row r="517" spans="1:2" x14ac:dyDescent="0.25">
      <c r="A517" s="125">
        <v>20079</v>
      </c>
      <c r="B517" s="126" t="s">
        <v>2685</v>
      </c>
    </row>
    <row r="518" spans="1:2" x14ac:dyDescent="0.25">
      <c r="A518" s="125">
        <v>20080</v>
      </c>
      <c r="B518" s="126" t="s">
        <v>2686</v>
      </c>
    </row>
    <row r="519" spans="1:2" x14ac:dyDescent="0.25">
      <c r="A519" s="125">
        <v>20081</v>
      </c>
      <c r="B519" s="126" t="s">
        <v>2687</v>
      </c>
    </row>
    <row r="520" spans="1:2" x14ac:dyDescent="0.25">
      <c r="A520" s="125">
        <v>20082</v>
      </c>
      <c r="B520" s="126" t="s">
        <v>2688</v>
      </c>
    </row>
    <row r="521" spans="1:2" x14ac:dyDescent="0.25">
      <c r="A521" s="125">
        <v>20083</v>
      </c>
      <c r="B521" s="126" t="s">
        <v>2689</v>
      </c>
    </row>
    <row r="522" spans="1:2" x14ac:dyDescent="0.25">
      <c r="A522" s="125">
        <v>20084</v>
      </c>
      <c r="B522" s="126" t="s">
        <v>2690</v>
      </c>
    </row>
    <row r="523" spans="1:2" x14ac:dyDescent="0.25">
      <c r="A523" s="125">
        <v>20085</v>
      </c>
      <c r="B523" s="128" t="s">
        <v>604</v>
      </c>
    </row>
    <row r="524" spans="1:2" x14ac:dyDescent="0.25">
      <c r="A524" s="125">
        <v>20086</v>
      </c>
      <c r="B524" s="128" t="s">
        <v>605</v>
      </c>
    </row>
    <row r="525" spans="1:2" x14ac:dyDescent="0.25">
      <c r="A525" s="125">
        <v>20087</v>
      </c>
      <c r="B525" s="128" t="s">
        <v>606</v>
      </c>
    </row>
    <row r="526" spans="1:2" x14ac:dyDescent="0.25">
      <c r="A526" s="215">
        <v>20088</v>
      </c>
      <c r="B526" s="23" t="s">
        <v>3872</v>
      </c>
    </row>
    <row r="527" spans="1:2" x14ac:dyDescent="0.25">
      <c r="A527" s="215">
        <v>20089</v>
      </c>
      <c r="B527" s="23" t="s">
        <v>3873</v>
      </c>
    </row>
    <row r="528" spans="1:2" x14ac:dyDescent="0.25">
      <c r="A528" s="215">
        <v>20090</v>
      </c>
      <c r="B528" s="23" t="s">
        <v>3864</v>
      </c>
    </row>
    <row r="529" spans="1:2" x14ac:dyDescent="0.25">
      <c r="A529" s="215">
        <v>20091</v>
      </c>
      <c r="B529" s="23" t="s">
        <v>3874</v>
      </c>
    </row>
    <row r="530" spans="1:2" x14ac:dyDescent="0.25">
      <c r="A530" s="125">
        <v>20100</v>
      </c>
      <c r="B530" s="126" t="s">
        <v>2691</v>
      </c>
    </row>
    <row r="531" spans="1:2" x14ac:dyDescent="0.25">
      <c r="A531" s="125">
        <v>20110</v>
      </c>
      <c r="B531" s="126" t="s">
        <v>2692</v>
      </c>
    </row>
    <row r="532" spans="1:2" x14ac:dyDescent="0.25">
      <c r="A532" s="125">
        <v>20407</v>
      </c>
      <c r="B532" s="126" t="s">
        <v>2693</v>
      </c>
    </row>
    <row r="533" spans="1:2" x14ac:dyDescent="0.25">
      <c r="A533" s="125">
        <v>20410</v>
      </c>
      <c r="B533" s="126" t="s">
        <v>2694</v>
      </c>
    </row>
    <row r="534" spans="1:2" x14ac:dyDescent="0.25">
      <c r="A534" s="125">
        <v>20411</v>
      </c>
      <c r="B534" s="126" t="s">
        <v>2695</v>
      </c>
    </row>
    <row r="535" spans="1:2" x14ac:dyDescent="0.25">
      <c r="A535" s="125">
        <v>20412</v>
      </c>
      <c r="B535" s="126" t="s">
        <v>2696</v>
      </c>
    </row>
    <row r="536" spans="1:2" x14ac:dyDescent="0.25">
      <c r="A536" s="125">
        <v>20413</v>
      </c>
      <c r="B536" s="126" t="s">
        <v>2697</v>
      </c>
    </row>
    <row r="537" spans="1:2" x14ac:dyDescent="0.25">
      <c r="A537" s="125">
        <v>20457</v>
      </c>
      <c r="B537" s="126" t="s">
        <v>2698</v>
      </c>
    </row>
    <row r="538" spans="1:2" x14ac:dyDescent="0.25">
      <c r="A538" s="125">
        <v>20621</v>
      </c>
      <c r="B538" s="126" t="s">
        <v>2699</v>
      </c>
    </row>
    <row r="539" spans="1:2" x14ac:dyDescent="0.25">
      <c r="A539" s="125">
        <v>20628</v>
      </c>
      <c r="B539" s="126" t="s">
        <v>2700</v>
      </c>
    </row>
    <row r="540" spans="1:2" x14ac:dyDescent="0.25">
      <c r="A540" s="125">
        <v>20629</v>
      </c>
      <c r="B540" s="126" t="s">
        <v>2701</v>
      </c>
    </row>
    <row r="541" spans="1:2" x14ac:dyDescent="0.25">
      <c r="A541" s="125">
        <v>20630</v>
      </c>
      <c r="B541" s="126" t="s">
        <v>2702</v>
      </c>
    </row>
    <row r="542" spans="1:2" x14ac:dyDescent="0.25">
      <c r="A542" s="125">
        <v>20631</v>
      </c>
      <c r="B542" s="126" t="s">
        <v>2703</v>
      </c>
    </row>
    <row r="543" spans="1:2" x14ac:dyDescent="0.25">
      <c r="A543" s="125">
        <v>20632</v>
      </c>
      <c r="B543" s="126" t="s">
        <v>2704</v>
      </c>
    </row>
    <row r="544" spans="1:2" x14ac:dyDescent="0.25">
      <c r="A544" s="125">
        <v>20633</v>
      </c>
      <c r="B544" s="126" t="s">
        <v>2705</v>
      </c>
    </row>
    <row r="545" spans="1:2" x14ac:dyDescent="0.25">
      <c r="A545" s="125">
        <v>20634</v>
      </c>
      <c r="B545" s="126" t="s">
        <v>2706</v>
      </c>
    </row>
    <row r="546" spans="1:2" x14ac:dyDescent="0.25">
      <c r="A546" s="125">
        <v>20635</v>
      </c>
      <c r="B546" s="126" t="s">
        <v>2707</v>
      </c>
    </row>
    <row r="547" spans="1:2" x14ac:dyDescent="0.25">
      <c r="A547" s="125">
        <v>20636</v>
      </c>
      <c r="B547" s="128" t="s">
        <v>2708</v>
      </c>
    </row>
    <row r="548" spans="1:2" x14ac:dyDescent="0.25">
      <c r="A548" s="125">
        <v>20637</v>
      </c>
      <c r="B548" s="128" t="s">
        <v>3875</v>
      </c>
    </row>
    <row r="549" spans="1:2" x14ac:dyDescent="0.25">
      <c r="A549" s="125">
        <v>21001</v>
      </c>
      <c r="B549" s="126" t="s">
        <v>2709</v>
      </c>
    </row>
    <row r="550" spans="1:2" x14ac:dyDescent="0.25">
      <c r="A550" s="125">
        <v>21002</v>
      </c>
      <c r="B550" s="126" t="s">
        <v>2710</v>
      </c>
    </row>
    <row r="551" spans="1:2" x14ac:dyDescent="0.25">
      <c r="A551" s="125">
        <v>21003</v>
      </c>
      <c r="B551" s="126" t="s">
        <v>2711</v>
      </c>
    </row>
    <row r="552" spans="1:2" ht="30" x14ac:dyDescent="0.25">
      <c r="A552" s="125">
        <v>21004</v>
      </c>
      <c r="B552" s="126" t="s">
        <v>2712</v>
      </c>
    </row>
    <row r="553" spans="1:2" x14ac:dyDescent="0.25">
      <c r="A553" s="125">
        <v>21005</v>
      </c>
      <c r="B553" s="128" t="s">
        <v>2713</v>
      </c>
    </row>
    <row r="554" spans="1:2" x14ac:dyDescent="0.25">
      <c r="A554" s="125">
        <v>21006</v>
      </c>
      <c r="B554" s="128" t="s">
        <v>2713</v>
      </c>
    </row>
    <row r="555" spans="1:2" x14ac:dyDescent="0.25">
      <c r="A555" s="125">
        <v>21007</v>
      </c>
      <c r="B555" s="128" t="s">
        <v>2714</v>
      </c>
    </row>
    <row r="556" spans="1:2" x14ac:dyDescent="0.25">
      <c r="A556" s="125">
        <v>21008</v>
      </c>
      <c r="B556" s="128" t="s">
        <v>2715</v>
      </c>
    </row>
    <row r="557" spans="1:2" x14ac:dyDescent="0.25">
      <c r="A557" s="125">
        <v>21009</v>
      </c>
      <c r="B557" s="128" t="s">
        <v>3876</v>
      </c>
    </row>
    <row r="558" spans="1:2" x14ac:dyDescent="0.25">
      <c r="A558" s="125">
        <v>22000</v>
      </c>
      <c r="B558" s="128" t="s">
        <v>2716</v>
      </c>
    </row>
    <row r="559" spans="1:2" x14ac:dyDescent="0.25">
      <c r="A559" s="125">
        <v>22001</v>
      </c>
      <c r="B559" s="128" t="s">
        <v>2717</v>
      </c>
    </row>
    <row r="560" spans="1:2" x14ac:dyDescent="0.25">
      <c r="A560" s="125">
        <v>22002</v>
      </c>
      <c r="B560" s="128" t="s">
        <v>2718</v>
      </c>
    </row>
    <row r="561" spans="1:2" x14ac:dyDescent="0.25">
      <c r="A561" s="125">
        <v>22003</v>
      </c>
      <c r="B561" s="128" t="s">
        <v>2719</v>
      </c>
    </row>
    <row r="562" spans="1:2" x14ac:dyDescent="0.25">
      <c r="A562" s="125">
        <v>22004</v>
      </c>
      <c r="B562" s="128" t="s">
        <v>2720</v>
      </c>
    </row>
    <row r="563" spans="1:2" x14ac:dyDescent="0.25">
      <c r="A563" s="125">
        <v>22005</v>
      </c>
      <c r="B563" s="128" t="s">
        <v>589</v>
      </c>
    </row>
    <row r="564" spans="1:2" x14ac:dyDescent="0.25">
      <c r="A564" s="125">
        <v>22006</v>
      </c>
      <c r="B564" s="128" t="s">
        <v>3640</v>
      </c>
    </row>
    <row r="565" spans="1:2" x14ac:dyDescent="0.25">
      <c r="A565" s="127">
        <v>22007</v>
      </c>
      <c r="B565" s="127" t="s">
        <v>2721</v>
      </c>
    </row>
    <row r="566" spans="1:2" x14ac:dyDescent="0.25">
      <c r="A566" s="125">
        <v>22008</v>
      </c>
      <c r="B566" s="138" t="s">
        <v>607</v>
      </c>
    </row>
    <row r="567" spans="1:2" x14ac:dyDescent="0.25">
      <c r="A567" s="127">
        <v>22009</v>
      </c>
      <c r="B567" s="138" t="s">
        <v>2722</v>
      </c>
    </row>
    <row r="568" spans="1:2" x14ac:dyDescent="0.25">
      <c r="A568" s="125">
        <v>22010</v>
      </c>
      <c r="B568" s="138" t="s">
        <v>2723</v>
      </c>
    </row>
    <row r="569" spans="1:2" x14ac:dyDescent="0.25">
      <c r="A569" s="125">
        <v>22011</v>
      </c>
      <c r="B569" s="138" t="s">
        <v>3877</v>
      </c>
    </row>
    <row r="570" spans="1:2" x14ac:dyDescent="0.25">
      <c r="A570" s="125">
        <v>23000</v>
      </c>
      <c r="B570" s="126" t="s">
        <v>2724</v>
      </c>
    </row>
    <row r="571" spans="1:2" x14ac:dyDescent="0.25">
      <c r="A571" s="125">
        <v>23001</v>
      </c>
      <c r="B571" s="128" t="s">
        <v>2725</v>
      </c>
    </row>
    <row r="572" spans="1:2" x14ac:dyDescent="0.25">
      <c r="A572" s="125">
        <v>23002</v>
      </c>
      <c r="B572" s="128" t="s">
        <v>590</v>
      </c>
    </row>
    <row r="573" spans="1:2" x14ac:dyDescent="0.25">
      <c r="A573" s="125">
        <v>23003</v>
      </c>
      <c r="B573" s="128" t="s">
        <v>2726</v>
      </c>
    </row>
    <row r="574" spans="1:2" x14ac:dyDescent="0.25">
      <c r="A574" s="125">
        <v>23004</v>
      </c>
      <c r="B574" s="128" t="s">
        <v>2727</v>
      </c>
    </row>
    <row r="575" spans="1:2" ht="17.45" customHeight="1" x14ac:dyDescent="0.25">
      <c r="A575" s="127">
        <v>24000</v>
      </c>
      <c r="B575" s="127" t="s">
        <v>4931</v>
      </c>
    </row>
    <row r="576" spans="1:2" x14ac:dyDescent="0.25">
      <c r="A576" s="127">
        <v>25000</v>
      </c>
      <c r="B576" s="138" t="s">
        <v>3878</v>
      </c>
    </row>
    <row r="577" spans="1:2" x14ac:dyDescent="0.25">
      <c r="A577" s="125">
        <v>25401</v>
      </c>
      <c r="B577" s="126" t="s">
        <v>2728</v>
      </c>
    </row>
    <row r="578" spans="1:2" x14ac:dyDescent="0.25">
      <c r="A578" s="125">
        <v>25402</v>
      </c>
      <c r="B578" s="126" t="s">
        <v>2729</v>
      </c>
    </row>
    <row r="579" spans="1:2" x14ac:dyDescent="0.25">
      <c r="A579" s="125">
        <v>25403</v>
      </c>
      <c r="B579" s="126" t="s">
        <v>2730</v>
      </c>
    </row>
    <row r="580" spans="1:2" x14ac:dyDescent="0.25">
      <c r="A580" s="125">
        <v>25404</v>
      </c>
      <c r="B580" s="126" t="s">
        <v>2731</v>
      </c>
    </row>
    <row r="581" spans="1:2" x14ac:dyDescent="0.25">
      <c r="A581" s="125">
        <v>25405</v>
      </c>
      <c r="B581" s="126" t="s">
        <v>2732</v>
      </c>
    </row>
    <row r="582" spans="1:2" x14ac:dyDescent="0.25">
      <c r="A582" s="125">
        <v>25406</v>
      </c>
      <c r="B582" s="126" t="s">
        <v>2733</v>
      </c>
    </row>
    <row r="583" spans="1:2" x14ac:dyDescent="0.25">
      <c r="A583" s="125">
        <v>25407</v>
      </c>
      <c r="B583" s="126" t="s">
        <v>2734</v>
      </c>
    </row>
    <row r="584" spans="1:2" x14ac:dyDescent="0.25">
      <c r="A584" s="125">
        <v>25408</v>
      </c>
      <c r="B584" s="126" t="s">
        <v>2735</v>
      </c>
    </row>
    <row r="585" spans="1:2" x14ac:dyDescent="0.25">
      <c r="A585" s="125">
        <v>25409</v>
      </c>
      <c r="B585" s="126" t="s">
        <v>2736</v>
      </c>
    </row>
    <row r="586" spans="1:2" x14ac:dyDescent="0.25">
      <c r="A586" s="125">
        <v>25410</v>
      </c>
      <c r="B586" s="126" t="s">
        <v>2737</v>
      </c>
    </row>
    <row r="587" spans="1:2" x14ac:dyDescent="0.25">
      <c r="A587" s="125">
        <v>25411</v>
      </c>
      <c r="B587" s="126" t="s">
        <v>2738</v>
      </c>
    </row>
    <row r="588" spans="1:2" x14ac:dyDescent="0.25">
      <c r="A588" s="125">
        <v>25412</v>
      </c>
      <c r="B588" s="126" t="s">
        <v>2739</v>
      </c>
    </row>
    <row r="589" spans="1:2" x14ac:dyDescent="0.25">
      <c r="A589" s="125">
        <v>25413</v>
      </c>
      <c r="B589" s="126" t="s">
        <v>608</v>
      </c>
    </row>
    <row r="590" spans="1:2" x14ac:dyDescent="0.25">
      <c r="A590" s="125">
        <v>25414</v>
      </c>
      <c r="B590" s="126" t="s">
        <v>2740</v>
      </c>
    </row>
    <row r="591" spans="1:2" x14ac:dyDescent="0.25">
      <c r="A591" s="125">
        <v>25415</v>
      </c>
      <c r="B591" s="126" t="s">
        <v>2741</v>
      </c>
    </row>
    <row r="592" spans="1:2" x14ac:dyDescent="0.25">
      <c r="A592" s="125">
        <v>25416</v>
      </c>
      <c r="B592" s="126" t="s">
        <v>2742</v>
      </c>
    </row>
    <row r="593" spans="1:2" x14ac:dyDescent="0.25">
      <c r="A593" s="125">
        <v>25417</v>
      </c>
      <c r="B593" s="126" t="s">
        <v>2743</v>
      </c>
    </row>
    <row r="594" spans="1:2" x14ac:dyDescent="0.25">
      <c r="A594" s="125">
        <v>25418</v>
      </c>
      <c r="B594" s="126" t="s">
        <v>591</v>
      </c>
    </row>
    <row r="595" spans="1:2" x14ac:dyDescent="0.25">
      <c r="A595" s="125">
        <v>25419</v>
      </c>
      <c r="B595" s="126" t="s">
        <v>2744</v>
      </c>
    </row>
    <row r="596" spans="1:2" x14ac:dyDescent="0.25">
      <c r="A596" s="125">
        <v>25420</v>
      </c>
      <c r="B596" s="126" t="s">
        <v>2745</v>
      </c>
    </row>
    <row r="597" spans="1:2" ht="30" x14ac:dyDescent="0.25">
      <c r="A597" s="125">
        <v>25421</v>
      </c>
      <c r="B597" s="126" t="s">
        <v>2746</v>
      </c>
    </row>
    <row r="598" spans="1:2" x14ac:dyDescent="0.25">
      <c r="A598" s="125">
        <v>25422</v>
      </c>
      <c r="B598" s="126" t="s">
        <v>2747</v>
      </c>
    </row>
    <row r="599" spans="1:2" x14ac:dyDescent="0.25">
      <c r="A599" s="125">
        <v>25423</v>
      </c>
      <c r="B599" s="126" t="s">
        <v>2748</v>
      </c>
    </row>
    <row r="600" spans="1:2" x14ac:dyDescent="0.25">
      <c r="A600" s="125">
        <v>25424</v>
      </c>
      <c r="B600" s="126" t="s">
        <v>2749</v>
      </c>
    </row>
    <row r="601" spans="1:2" x14ac:dyDescent="0.25">
      <c r="A601" s="125">
        <v>25425</v>
      </c>
      <c r="B601" s="126" t="s">
        <v>2750</v>
      </c>
    </row>
    <row r="602" spans="1:2" x14ac:dyDescent="0.25">
      <c r="A602" s="125">
        <v>25426</v>
      </c>
      <c r="B602" s="126" t="s">
        <v>2751</v>
      </c>
    </row>
    <row r="603" spans="1:2" x14ac:dyDescent="0.25">
      <c r="A603" s="125">
        <v>25427</v>
      </c>
      <c r="B603" s="126" t="s">
        <v>2752</v>
      </c>
    </row>
    <row r="604" spans="1:2" x14ac:dyDescent="0.25">
      <c r="A604" s="125">
        <v>25428</v>
      </c>
      <c r="B604" s="128" t="s">
        <v>2753</v>
      </c>
    </row>
    <row r="605" spans="1:2" x14ac:dyDescent="0.25">
      <c r="A605" s="125">
        <v>25450</v>
      </c>
      <c r="B605" s="128" t="s">
        <v>2754</v>
      </c>
    </row>
    <row r="606" spans="1:2" x14ac:dyDescent="0.25">
      <c r="A606" s="125">
        <v>25451</v>
      </c>
      <c r="B606" s="126" t="s">
        <v>2755</v>
      </c>
    </row>
    <row r="607" spans="1:2" x14ac:dyDescent="0.25">
      <c r="A607" s="125">
        <v>25452</v>
      </c>
      <c r="B607" s="126" t="s">
        <v>2756</v>
      </c>
    </row>
    <row r="608" spans="1:2" x14ac:dyDescent="0.25">
      <c r="A608" s="125">
        <v>25453</v>
      </c>
      <c r="B608" s="126" t="s">
        <v>2757</v>
      </c>
    </row>
    <row r="609" spans="1:2" x14ac:dyDescent="0.25">
      <c r="A609" s="125">
        <v>25454</v>
      </c>
      <c r="B609" s="126" t="s">
        <v>2758</v>
      </c>
    </row>
    <row r="610" spans="1:2" x14ac:dyDescent="0.25">
      <c r="A610" s="125">
        <v>25455</v>
      </c>
      <c r="B610" s="126" t="s">
        <v>2759</v>
      </c>
    </row>
    <row r="611" spans="1:2" x14ac:dyDescent="0.25">
      <c r="A611" s="125">
        <v>25456</v>
      </c>
      <c r="B611" s="126" t="s">
        <v>2760</v>
      </c>
    </row>
    <row r="612" spans="1:2" x14ac:dyDescent="0.25">
      <c r="A612" s="125">
        <v>25457</v>
      </c>
      <c r="B612" s="139" t="s">
        <v>2761</v>
      </c>
    </row>
    <row r="613" spans="1:2" x14ac:dyDescent="0.25">
      <c r="A613" s="125">
        <v>25458</v>
      </c>
      <c r="B613" s="140" t="s">
        <v>2762</v>
      </c>
    </row>
    <row r="614" spans="1:2" x14ac:dyDescent="0.25">
      <c r="A614" s="125">
        <v>25459</v>
      </c>
      <c r="B614" s="140" t="s">
        <v>592</v>
      </c>
    </row>
    <row r="615" spans="1:2" x14ac:dyDescent="0.25">
      <c r="A615" s="125">
        <v>25460</v>
      </c>
      <c r="B615" s="140" t="s">
        <v>2763</v>
      </c>
    </row>
    <row r="616" spans="1:2" x14ac:dyDescent="0.25">
      <c r="A616" s="125">
        <v>25461</v>
      </c>
      <c r="B616" s="140" t="s">
        <v>2764</v>
      </c>
    </row>
    <row r="617" spans="1:2" x14ac:dyDescent="0.25">
      <c r="A617" s="125">
        <v>25462</v>
      </c>
      <c r="B617" s="140" t="s">
        <v>2765</v>
      </c>
    </row>
    <row r="618" spans="1:2" x14ac:dyDescent="0.25">
      <c r="A618" s="125">
        <v>25463</v>
      </c>
      <c r="B618" s="140" t="s">
        <v>2766</v>
      </c>
    </row>
    <row r="619" spans="1:2" x14ac:dyDescent="0.25">
      <c r="A619" s="141">
        <v>25464</v>
      </c>
      <c r="B619" s="141" t="s">
        <v>593</v>
      </c>
    </row>
    <row r="620" spans="1:2" x14ac:dyDescent="0.25">
      <c r="A620" s="141">
        <v>25465</v>
      </c>
      <c r="B620" s="141" t="s">
        <v>2767</v>
      </c>
    </row>
    <row r="621" spans="1:2" x14ac:dyDescent="0.25">
      <c r="A621" s="141">
        <v>25467</v>
      </c>
      <c r="B621" s="141" t="s">
        <v>2768</v>
      </c>
    </row>
    <row r="622" spans="1:2" x14ac:dyDescent="0.25">
      <c r="A622" s="141">
        <v>25468</v>
      </c>
      <c r="B622" s="141" t="s">
        <v>2769</v>
      </c>
    </row>
    <row r="623" spans="1:2" x14ac:dyDescent="0.25">
      <c r="A623" s="141">
        <v>25469</v>
      </c>
      <c r="B623" s="141" t="s">
        <v>2770</v>
      </c>
    </row>
    <row r="624" spans="1:2" x14ac:dyDescent="0.25">
      <c r="A624" s="141">
        <v>25470</v>
      </c>
      <c r="B624" s="141" t="s">
        <v>594</v>
      </c>
    </row>
    <row r="625" spans="1:2" x14ac:dyDescent="0.25">
      <c r="A625" s="141">
        <v>25471</v>
      </c>
      <c r="B625" s="141" t="s">
        <v>2771</v>
      </c>
    </row>
    <row r="626" spans="1:2" x14ac:dyDescent="0.25">
      <c r="A626" s="141">
        <v>25472</v>
      </c>
      <c r="B626" s="141" t="s">
        <v>595</v>
      </c>
    </row>
    <row r="627" spans="1:2" x14ac:dyDescent="0.25">
      <c r="A627" s="141">
        <v>25473</v>
      </c>
      <c r="B627" s="141" t="s">
        <v>2772</v>
      </c>
    </row>
    <row r="628" spans="1:2" x14ac:dyDescent="0.25">
      <c r="A628" s="125">
        <v>25474</v>
      </c>
      <c r="B628" s="140" t="s">
        <v>2773</v>
      </c>
    </row>
    <row r="629" spans="1:2" x14ac:dyDescent="0.25">
      <c r="A629" s="125">
        <v>25475</v>
      </c>
      <c r="B629" s="140" t="s">
        <v>596</v>
      </c>
    </row>
    <row r="630" spans="1:2" x14ac:dyDescent="0.25">
      <c r="A630" s="125">
        <v>25476</v>
      </c>
      <c r="B630" s="140" t="s">
        <v>597</v>
      </c>
    </row>
    <row r="631" spans="1:2" x14ac:dyDescent="0.25">
      <c r="A631" s="125">
        <v>25477</v>
      </c>
      <c r="B631" s="140" t="s">
        <v>598</v>
      </c>
    </row>
    <row r="632" spans="1:2" x14ac:dyDescent="0.25">
      <c r="A632" s="125">
        <v>25478</v>
      </c>
      <c r="B632" s="140" t="s">
        <v>2774</v>
      </c>
    </row>
    <row r="633" spans="1:2" x14ac:dyDescent="0.25">
      <c r="A633" s="125">
        <v>25479</v>
      </c>
      <c r="B633" s="140" t="s">
        <v>3641</v>
      </c>
    </row>
    <row r="634" spans="1:2" x14ac:dyDescent="0.25">
      <c r="A634" s="125">
        <v>25480</v>
      </c>
      <c r="B634" s="140" t="s">
        <v>3642</v>
      </c>
    </row>
    <row r="635" spans="1:2" x14ac:dyDescent="0.25">
      <c r="A635" s="125">
        <v>25481</v>
      </c>
      <c r="B635" s="140" t="s">
        <v>3643</v>
      </c>
    </row>
    <row r="636" spans="1:2" x14ac:dyDescent="0.25">
      <c r="A636" s="125">
        <v>25482</v>
      </c>
      <c r="B636" s="140" t="s">
        <v>3644</v>
      </c>
    </row>
    <row r="637" spans="1:2" x14ac:dyDescent="0.25">
      <c r="A637" s="125">
        <v>25483</v>
      </c>
      <c r="B637" s="140" t="s">
        <v>3879</v>
      </c>
    </row>
    <row r="638" spans="1:2" x14ac:dyDescent="0.25">
      <c r="A638" s="125">
        <v>25484</v>
      </c>
      <c r="B638" s="140" t="s">
        <v>3880</v>
      </c>
    </row>
    <row r="639" spans="1:2" x14ac:dyDescent="0.25">
      <c r="A639" s="125">
        <v>25485</v>
      </c>
      <c r="B639" s="140" t="s">
        <v>3881</v>
      </c>
    </row>
    <row r="640" spans="1:2" x14ac:dyDescent="0.25">
      <c r="A640" s="125">
        <v>26001</v>
      </c>
      <c r="B640" s="139" t="s">
        <v>2775</v>
      </c>
    </row>
    <row r="641" spans="1:2" x14ac:dyDescent="0.25">
      <c r="A641" s="125">
        <v>26002</v>
      </c>
      <c r="B641" s="139" t="s">
        <v>2776</v>
      </c>
    </row>
    <row r="642" spans="1:2" x14ac:dyDescent="0.25">
      <c r="A642" s="125">
        <v>26003</v>
      </c>
      <c r="B642" s="140" t="s">
        <v>609</v>
      </c>
    </row>
    <row r="643" spans="1:2" x14ac:dyDescent="0.25">
      <c r="A643" s="125">
        <v>27000</v>
      </c>
      <c r="B643" s="140" t="s">
        <v>2777</v>
      </c>
    </row>
    <row r="644" spans="1:2" x14ac:dyDescent="0.25">
      <c r="A644" s="125">
        <v>30001</v>
      </c>
      <c r="B644" s="126" t="s">
        <v>2778</v>
      </c>
    </row>
    <row r="645" spans="1:2" x14ac:dyDescent="0.25">
      <c r="A645" s="125">
        <v>30002</v>
      </c>
      <c r="B645" s="126" t="s">
        <v>2779</v>
      </c>
    </row>
    <row r="646" spans="1:2" x14ac:dyDescent="0.25">
      <c r="A646" s="125">
        <v>30003</v>
      </c>
      <c r="B646" s="126" t="s">
        <v>2780</v>
      </c>
    </row>
    <row r="647" spans="1:2" x14ac:dyDescent="0.25">
      <c r="A647" s="125">
        <v>30004</v>
      </c>
      <c r="B647" s="126" t="s">
        <v>67</v>
      </c>
    </row>
    <row r="648" spans="1:2" x14ac:dyDescent="0.25">
      <c r="A648" s="125">
        <v>30005</v>
      </c>
      <c r="B648" s="126" t="s">
        <v>2781</v>
      </c>
    </row>
    <row r="649" spans="1:2" x14ac:dyDescent="0.25">
      <c r="A649" s="125">
        <v>30006</v>
      </c>
      <c r="B649" s="126" t="s">
        <v>2782</v>
      </c>
    </row>
    <row r="650" spans="1:2" x14ac:dyDescent="0.25">
      <c r="A650" s="125">
        <v>30007</v>
      </c>
      <c r="B650" s="126" t="s">
        <v>2783</v>
      </c>
    </row>
    <row r="651" spans="1:2" x14ac:dyDescent="0.25">
      <c r="A651" s="125">
        <v>30008</v>
      </c>
      <c r="B651" s="126" t="s">
        <v>2784</v>
      </c>
    </row>
    <row r="652" spans="1:2" x14ac:dyDescent="0.25">
      <c r="A652" s="125">
        <v>30009</v>
      </c>
      <c r="B652" s="126" t="s">
        <v>2785</v>
      </c>
    </row>
    <row r="653" spans="1:2" x14ac:dyDescent="0.25">
      <c r="A653" s="125">
        <v>30010</v>
      </c>
      <c r="B653" s="128" t="s">
        <v>2786</v>
      </c>
    </row>
    <row r="654" spans="1:2" x14ac:dyDescent="0.25">
      <c r="A654" s="125">
        <v>30011</v>
      </c>
      <c r="B654" s="126" t="s">
        <v>2787</v>
      </c>
    </row>
    <row r="655" spans="1:2" x14ac:dyDescent="0.25">
      <c r="A655" s="125">
        <v>30012</v>
      </c>
      <c r="B655" s="128" t="s">
        <v>2788</v>
      </c>
    </row>
    <row r="656" spans="1:2" x14ac:dyDescent="0.25">
      <c r="A656" s="125">
        <v>30013</v>
      </c>
      <c r="B656" s="128" t="s">
        <v>2789</v>
      </c>
    </row>
    <row r="657" spans="1:2" x14ac:dyDescent="0.25">
      <c r="A657" s="125">
        <v>30015</v>
      </c>
      <c r="B657" s="128" t="s">
        <v>2790</v>
      </c>
    </row>
    <row r="658" spans="1:2" x14ac:dyDescent="0.25">
      <c r="A658" s="125">
        <v>30016</v>
      </c>
      <c r="B658" s="128" t="s">
        <v>2791</v>
      </c>
    </row>
    <row r="659" spans="1:2" x14ac:dyDescent="0.25">
      <c r="A659" s="125">
        <v>30017</v>
      </c>
      <c r="B659" s="126" t="s">
        <v>2792</v>
      </c>
    </row>
    <row r="660" spans="1:2" x14ac:dyDescent="0.25">
      <c r="A660" s="125">
        <v>30018</v>
      </c>
      <c r="B660" s="126" t="s">
        <v>2793</v>
      </c>
    </row>
    <row r="661" spans="1:2" x14ac:dyDescent="0.25">
      <c r="A661" s="125">
        <v>30019</v>
      </c>
      <c r="B661" s="126" t="s">
        <v>2794</v>
      </c>
    </row>
    <row r="662" spans="1:2" x14ac:dyDescent="0.25">
      <c r="A662" s="125">
        <v>30020</v>
      </c>
      <c r="B662" s="126" t="s">
        <v>2795</v>
      </c>
    </row>
    <row r="663" spans="1:2" x14ac:dyDescent="0.25">
      <c r="A663" s="125">
        <v>30021</v>
      </c>
      <c r="B663" s="126" t="s">
        <v>2796</v>
      </c>
    </row>
    <row r="664" spans="1:2" x14ac:dyDescent="0.25">
      <c r="A664" s="125">
        <v>30022</v>
      </c>
      <c r="B664" s="126" t="s">
        <v>66</v>
      </c>
    </row>
    <row r="665" spans="1:2" x14ac:dyDescent="0.25">
      <c r="A665" s="125">
        <v>30023</v>
      </c>
      <c r="B665" s="126" t="s">
        <v>89</v>
      </c>
    </row>
    <row r="666" spans="1:2" x14ac:dyDescent="0.25">
      <c r="A666" s="125">
        <v>30025</v>
      </c>
      <c r="B666" s="126" t="s">
        <v>2797</v>
      </c>
    </row>
    <row r="667" spans="1:2" x14ac:dyDescent="0.25">
      <c r="A667" s="125">
        <v>30026</v>
      </c>
      <c r="B667" s="126" t="s">
        <v>2798</v>
      </c>
    </row>
    <row r="668" spans="1:2" x14ac:dyDescent="0.25">
      <c r="A668" s="125">
        <v>30027</v>
      </c>
      <c r="B668" s="126" t="s">
        <v>2799</v>
      </c>
    </row>
    <row r="669" spans="1:2" x14ac:dyDescent="0.25">
      <c r="A669" s="125">
        <v>30028</v>
      </c>
      <c r="B669" s="126" t="s">
        <v>2800</v>
      </c>
    </row>
    <row r="670" spans="1:2" x14ac:dyDescent="0.25">
      <c r="A670" s="125">
        <v>30029</v>
      </c>
      <c r="B670" s="126" t="s">
        <v>2801</v>
      </c>
    </row>
    <row r="671" spans="1:2" x14ac:dyDescent="0.25">
      <c r="A671" s="125">
        <v>30030</v>
      </c>
      <c r="B671" s="126" t="s">
        <v>2802</v>
      </c>
    </row>
    <row r="672" spans="1:2" x14ac:dyDescent="0.25">
      <c r="A672" s="125">
        <v>30031</v>
      </c>
      <c r="B672" s="126" t="s">
        <v>2803</v>
      </c>
    </row>
    <row r="673" spans="1:2" x14ac:dyDescent="0.25">
      <c r="A673" s="125">
        <v>30032</v>
      </c>
      <c r="B673" s="126" t="s">
        <v>2804</v>
      </c>
    </row>
    <row r="674" spans="1:2" x14ac:dyDescent="0.25">
      <c r="A674" s="125">
        <v>30033</v>
      </c>
      <c r="B674" s="126" t="s">
        <v>2805</v>
      </c>
    </row>
    <row r="675" spans="1:2" x14ac:dyDescent="0.25">
      <c r="A675" s="125">
        <v>30034</v>
      </c>
      <c r="B675" s="126" t="s">
        <v>2806</v>
      </c>
    </row>
    <row r="676" spans="1:2" x14ac:dyDescent="0.25">
      <c r="A676" s="125">
        <v>30035</v>
      </c>
      <c r="B676" s="126" t="s">
        <v>2807</v>
      </c>
    </row>
    <row r="677" spans="1:2" x14ac:dyDescent="0.25">
      <c r="A677" s="125">
        <v>30036</v>
      </c>
      <c r="B677" s="126" t="s">
        <v>2808</v>
      </c>
    </row>
    <row r="678" spans="1:2" x14ac:dyDescent="0.25">
      <c r="A678" s="125">
        <v>30037</v>
      </c>
      <c r="B678" s="126" t="s">
        <v>2809</v>
      </c>
    </row>
    <row r="679" spans="1:2" x14ac:dyDescent="0.25">
      <c r="A679" s="125">
        <v>30038</v>
      </c>
      <c r="B679" s="126" t="s">
        <v>2810</v>
      </c>
    </row>
    <row r="680" spans="1:2" x14ac:dyDescent="0.25">
      <c r="A680" s="125">
        <v>30039</v>
      </c>
      <c r="B680" s="126" t="s">
        <v>2811</v>
      </c>
    </row>
    <row r="681" spans="1:2" x14ac:dyDescent="0.25">
      <c r="A681" s="125">
        <v>30041</v>
      </c>
      <c r="B681" s="126" t="s">
        <v>2812</v>
      </c>
    </row>
    <row r="682" spans="1:2" x14ac:dyDescent="0.25">
      <c r="A682" s="125">
        <v>30042</v>
      </c>
      <c r="B682" s="126" t="s">
        <v>2813</v>
      </c>
    </row>
    <row r="683" spans="1:2" x14ac:dyDescent="0.25">
      <c r="A683" s="125">
        <v>30043</v>
      </c>
      <c r="B683" s="126" t="s">
        <v>2814</v>
      </c>
    </row>
    <row r="684" spans="1:2" x14ac:dyDescent="0.25">
      <c r="A684" s="125">
        <v>30047</v>
      </c>
      <c r="B684" s="126" t="s">
        <v>2815</v>
      </c>
    </row>
    <row r="685" spans="1:2" x14ac:dyDescent="0.25">
      <c r="A685" s="125">
        <v>30048</v>
      </c>
      <c r="B685" s="126" t="s">
        <v>2816</v>
      </c>
    </row>
    <row r="686" spans="1:2" x14ac:dyDescent="0.25">
      <c r="A686" s="125">
        <v>30049</v>
      </c>
      <c r="B686" s="126" t="s">
        <v>2817</v>
      </c>
    </row>
    <row r="687" spans="1:2" x14ac:dyDescent="0.25">
      <c r="A687" s="125">
        <v>30050</v>
      </c>
      <c r="B687" s="126" t="s">
        <v>2818</v>
      </c>
    </row>
    <row r="688" spans="1:2" x14ac:dyDescent="0.25">
      <c r="A688" s="125">
        <v>30051</v>
      </c>
      <c r="B688" s="126" t="s">
        <v>2819</v>
      </c>
    </row>
    <row r="689" spans="1:2" x14ac:dyDescent="0.25">
      <c r="A689" s="125">
        <v>30052</v>
      </c>
      <c r="B689" s="126" t="s">
        <v>2820</v>
      </c>
    </row>
    <row r="690" spans="1:2" x14ac:dyDescent="0.25">
      <c r="A690" s="125">
        <v>30053</v>
      </c>
      <c r="B690" s="126" t="s">
        <v>2821</v>
      </c>
    </row>
    <row r="691" spans="1:2" x14ac:dyDescent="0.25">
      <c r="A691" s="125">
        <v>30054</v>
      </c>
      <c r="B691" s="126" t="s">
        <v>2822</v>
      </c>
    </row>
    <row r="692" spans="1:2" x14ac:dyDescent="0.25">
      <c r="A692" s="125">
        <v>30055</v>
      </c>
      <c r="B692" s="126" t="s">
        <v>2823</v>
      </c>
    </row>
    <row r="693" spans="1:2" x14ac:dyDescent="0.25">
      <c r="A693" s="125">
        <v>30056</v>
      </c>
      <c r="B693" s="126" t="s">
        <v>2824</v>
      </c>
    </row>
    <row r="694" spans="1:2" x14ac:dyDescent="0.25">
      <c r="A694" s="125">
        <v>30057</v>
      </c>
      <c r="B694" s="126" t="s">
        <v>2825</v>
      </c>
    </row>
    <row r="695" spans="1:2" x14ac:dyDescent="0.25">
      <c r="A695" s="125">
        <v>30058</v>
      </c>
      <c r="B695" s="126" t="s">
        <v>2826</v>
      </c>
    </row>
    <row r="696" spans="1:2" x14ac:dyDescent="0.25">
      <c r="A696" s="125">
        <v>30059</v>
      </c>
      <c r="B696" s="126" t="s">
        <v>2827</v>
      </c>
    </row>
    <row r="697" spans="1:2" x14ac:dyDescent="0.25">
      <c r="A697" s="125">
        <v>30060</v>
      </c>
      <c r="B697" s="126" t="s">
        <v>2828</v>
      </c>
    </row>
    <row r="698" spans="1:2" x14ac:dyDescent="0.25">
      <c r="A698" s="125">
        <v>30061</v>
      </c>
      <c r="B698" s="126" t="s">
        <v>2829</v>
      </c>
    </row>
    <row r="699" spans="1:2" x14ac:dyDescent="0.25">
      <c r="A699" s="125">
        <v>30062</v>
      </c>
      <c r="B699" s="126" t="s">
        <v>2830</v>
      </c>
    </row>
    <row r="700" spans="1:2" x14ac:dyDescent="0.25">
      <c r="A700" s="125">
        <v>30063</v>
      </c>
      <c r="B700" s="126" t="s">
        <v>2831</v>
      </c>
    </row>
    <row r="701" spans="1:2" x14ac:dyDescent="0.25">
      <c r="A701" s="125">
        <v>30064</v>
      </c>
      <c r="B701" s="126" t="s">
        <v>2832</v>
      </c>
    </row>
    <row r="702" spans="1:2" x14ac:dyDescent="0.25">
      <c r="A702" s="125">
        <v>30067</v>
      </c>
      <c r="B702" s="128" t="s">
        <v>2833</v>
      </c>
    </row>
    <row r="703" spans="1:2" x14ac:dyDescent="0.25">
      <c r="A703" s="125">
        <v>30069</v>
      </c>
      <c r="B703" s="126" t="s">
        <v>2834</v>
      </c>
    </row>
    <row r="704" spans="1:2" x14ac:dyDescent="0.25">
      <c r="A704" s="125">
        <v>30070</v>
      </c>
      <c r="B704" s="128" t="s">
        <v>2835</v>
      </c>
    </row>
    <row r="705" spans="1:2" x14ac:dyDescent="0.25">
      <c r="A705" s="125">
        <v>30071</v>
      </c>
      <c r="B705" s="126" t="s">
        <v>148</v>
      </c>
    </row>
    <row r="706" spans="1:2" x14ac:dyDescent="0.25">
      <c r="A706" s="125">
        <v>30072</v>
      </c>
      <c r="B706" s="126" t="s">
        <v>149</v>
      </c>
    </row>
    <row r="707" spans="1:2" x14ac:dyDescent="0.25">
      <c r="A707" s="125">
        <v>30073</v>
      </c>
      <c r="B707" s="126" t="s">
        <v>150</v>
      </c>
    </row>
    <row r="708" spans="1:2" x14ac:dyDescent="0.25">
      <c r="A708" s="125">
        <v>30074</v>
      </c>
      <c r="B708" s="126" t="s">
        <v>2836</v>
      </c>
    </row>
    <row r="709" spans="1:2" x14ac:dyDescent="0.25">
      <c r="A709" s="125">
        <v>30075</v>
      </c>
      <c r="B709" s="126" t="s">
        <v>2837</v>
      </c>
    </row>
    <row r="710" spans="1:2" x14ac:dyDescent="0.25">
      <c r="A710" s="125">
        <v>30076</v>
      </c>
      <c r="B710" s="126" t="s">
        <v>2838</v>
      </c>
    </row>
    <row r="711" spans="1:2" x14ac:dyDescent="0.25">
      <c r="A711" s="125">
        <v>30077</v>
      </c>
      <c r="B711" s="126" t="s">
        <v>163</v>
      </c>
    </row>
    <row r="712" spans="1:2" x14ac:dyDescent="0.25">
      <c r="A712" s="125">
        <v>30079</v>
      </c>
      <c r="B712" s="126" t="s">
        <v>2839</v>
      </c>
    </row>
    <row r="713" spans="1:2" x14ac:dyDescent="0.25">
      <c r="A713" s="125">
        <v>30081</v>
      </c>
      <c r="B713" s="126" t="s">
        <v>2840</v>
      </c>
    </row>
    <row r="714" spans="1:2" x14ac:dyDescent="0.25">
      <c r="A714" s="125">
        <v>30083</v>
      </c>
      <c r="B714" s="126" t="s">
        <v>2841</v>
      </c>
    </row>
    <row r="715" spans="1:2" x14ac:dyDescent="0.25">
      <c r="A715" s="125">
        <v>30084</v>
      </c>
      <c r="B715" s="126" t="s">
        <v>2842</v>
      </c>
    </row>
    <row r="716" spans="1:2" x14ac:dyDescent="0.25">
      <c r="A716" s="125">
        <v>30085</v>
      </c>
      <c r="B716" s="126" t="s">
        <v>2843</v>
      </c>
    </row>
    <row r="717" spans="1:2" x14ac:dyDescent="0.25">
      <c r="A717" s="125">
        <v>30086</v>
      </c>
      <c r="B717" s="126" t="s">
        <v>2844</v>
      </c>
    </row>
    <row r="718" spans="1:2" x14ac:dyDescent="0.25">
      <c r="A718" s="125">
        <v>30089</v>
      </c>
      <c r="B718" s="126" t="s">
        <v>2845</v>
      </c>
    </row>
    <row r="719" spans="1:2" x14ac:dyDescent="0.25">
      <c r="A719" s="125">
        <v>30090</v>
      </c>
      <c r="B719" s="126" t="s">
        <v>2846</v>
      </c>
    </row>
    <row r="720" spans="1:2" x14ac:dyDescent="0.25">
      <c r="A720" s="125">
        <v>30091</v>
      </c>
      <c r="B720" s="126" t="s">
        <v>2847</v>
      </c>
    </row>
    <row r="721" spans="1:2" x14ac:dyDescent="0.25">
      <c r="A721" s="125">
        <v>30094</v>
      </c>
      <c r="B721" s="126" t="s">
        <v>2848</v>
      </c>
    </row>
    <row r="722" spans="1:2" x14ac:dyDescent="0.25">
      <c r="A722" s="125">
        <v>30098</v>
      </c>
      <c r="B722" s="126" t="s">
        <v>2849</v>
      </c>
    </row>
    <row r="723" spans="1:2" x14ac:dyDescent="0.25">
      <c r="A723" s="125">
        <v>31002</v>
      </c>
      <c r="B723" s="126" t="s">
        <v>35</v>
      </c>
    </row>
    <row r="724" spans="1:2" x14ac:dyDescent="0.25">
      <c r="A724" s="125">
        <v>31003</v>
      </c>
      <c r="B724" s="126" t="s">
        <v>2850</v>
      </c>
    </row>
    <row r="725" spans="1:2" x14ac:dyDescent="0.25">
      <c r="A725" s="125">
        <v>31004</v>
      </c>
      <c r="B725" s="126" t="s">
        <v>2851</v>
      </c>
    </row>
    <row r="726" spans="1:2" x14ac:dyDescent="0.25">
      <c r="A726" s="125">
        <v>31005</v>
      </c>
      <c r="B726" s="126" t="s">
        <v>2852</v>
      </c>
    </row>
    <row r="727" spans="1:2" x14ac:dyDescent="0.25">
      <c r="A727" s="125">
        <v>31006</v>
      </c>
      <c r="B727" s="126" t="s">
        <v>2853</v>
      </c>
    </row>
    <row r="728" spans="1:2" x14ac:dyDescent="0.25">
      <c r="A728" s="125">
        <v>31007</v>
      </c>
      <c r="B728" s="126" t="s">
        <v>2854</v>
      </c>
    </row>
    <row r="729" spans="1:2" x14ac:dyDescent="0.25">
      <c r="A729" s="125">
        <v>31008</v>
      </c>
      <c r="B729" s="126" t="s">
        <v>2855</v>
      </c>
    </row>
    <row r="730" spans="1:2" x14ac:dyDescent="0.25">
      <c r="A730" s="125">
        <v>31010</v>
      </c>
      <c r="B730" s="126" t="s">
        <v>2856</v>
      </c>
    </row>
    <row r="731" spans="1:2" x14ac:dyDescent="0.25">
      <c r="A731" s="125">
        <v>31011</v>
      </c>
      <c r="B731" s="126" t="s">
        <v>2857</v>
      </c>
    </row>
    <row r="732" spans="1:2" x14ac:dyDescent="0.25">
      <c r="A732" s="125">
        <v>31012</v>
      </c>
      <c r="B732" s="126" t="s">
        <v>2858</v>
      </c>
    </row>
    <row r="733" spans="1:2" x14ac:dyDescent="0.25">
      <c r="A733" s="125">
        <v>31013</v>
      </c>
      <c r="B733" s="126" t="s">
        <v>2859</v>
      </c>
    </row>
    <row r="734" spans="1:2" x14ac:dyDescent="0.25">
      <c r="A734" s="125">
        <v>31014</v>
      </c>
      <c r="B734" s="126" t="s">
        <v>2860</v>
      </c>
    </row>
    <row r="735" spans="1:2" x14ac:dyDescent="0.25">
      <c r="A735" s="125">
        <v>31015</v>
      </c>
      <c r="B735" s="126" t="s">
        <v>2861</v>
      </c>
    </row>
    <row r="736" spans="1:2" x14ac:dyDescent="0.25">
      <c r="A736" s="125">
        <v>31016</v>
      </c>
      <c r="B736" s="128" t="s">
        <v>71</v>
      </c>
    </row>
    <row r="737" spans="1:2" x14ac:dyDescent="0.25">
      <c r="A737" s="125">
        <v>31017</v>
      </c>
      <c r="B737" s="126" t="s">
        <v>2862</v>
      </c>
    </row>
    <row r="738" spans="1:2" x14ac:dyDescent="0.25">
      <c r="A738" s="125">
        <v>31018</v>
      </c>
      <c r="B738" s="126" t="s">
        <v>2863</v>
      </c>
    </row>
    <row r="739" spans="1:2" x14ac:dyDescent="0.25">
      <c r="A739" s="125">
        <v>31019</v>
      </c>
      <c r="B739" s="126" t="s">
        <v>2864</v>
      </c>
    </row>
    <row r="740" spans="1:2" x14ac:dyDescent="0.25">
      <c r="A740" s="125">
        <v>31021</v>
      </c>
      <c r="B740" s="126" t="s">
        <v>2865</v>
      </c>
    </row>
    <row r="741" spans="1:2" x14ac:dyDescent="0.25">
      <c r="A741" s="125">
        <v>31023</v>
      </c>
      <c r="B741" s="126" t="s">
        <v>2866</v>
      </c>
    </row>
    <row r="742" spans="1:2" x14ac:dyDescent="0.25">
      <c r="A742" s="125">
        <v>31024</v>
      </c>
      <c r="B742" s="126" t="s">
        <v>50</v>
      </c>
    </row>
    <row r="743" spans="1:2" x14ac:dyDescent="0.25">
      <c r="A743" s="125">
        <v>31025</v>
      </c>
      <c r="B743" s="126" t="s">
        <v>2867</v>
      </c>
    </row>
    <row r="744" spans="1:2" x14ac:dyDescent="0.25">
      <c r="A744" s="125">
        <v>31026</v>
      </c>
      <c r="B744" s="126" t="s">
        <v>2868</v>
      </c>
    </row>
    <row r="745" spans="1:2" x14ac:dyDescent="0.25">
      <c r="A745" s="125">
        <v>31027</v>
      </c>
      <c r="B745" s="126" t="s">
        <v>2869</v>
      </c>
    </row>
    <row r="746" spans="1:2" x14ac:dyDescent="0.25">
      <c r="A746" s="125">
        <v>31028</v>
      </c>
      <c r="B746" s="126" t="s">
        <v>2870</v>
      </c>
    </row>
    <row r="747" spans="1:2" x14ac:dyDescent="0.25">
      <c r="A747" s="125">
        <v>31029</v>
      </c>
      <c r="B747" s="126" t="s">
        <v>2871</v>
      </c>
    </row>
    <row r="748" spans="1:2" x14ac:dyDescent="0.25">
      <c r="A748" s="125">
        <v>31030</v>
      </c>
      <c r="B748" s="126" t="s">
        <v>2872</v>
      </c>
    </row>
    <row r="749" spans="1:2" x14ac:dyDescent="0.25">
      <c r="A749" s="125">
        <v>31031</v>
      </c>
      <c r="B749" s="126" t="s">
        <v>2873</v>
      </c>
    </row>
    <row r="750" spans="1:2" x14ac:dyDescent="0.25">
      <c r="A750" s="125">
        <v>31032</v>
      </c>
      <c r="B750" s="126" t="s">
        <v>2874</v>
      </c>
    </row>
    <row r="751" spans="1:2" x14ac:dyDescent="0.25">
      <c r="A751" s="125">
        <v>31033</v>
      </c>
      <c r="B751" s="126" t="s">
        <v>2875</v>
      </c>
    </row>
    <row r="752" spans="1:2" x14ac:dyDescent="0.25">
      <c r="A752" s="125">
        <v>31034</v>
      </c>
      <c r="B752" s="126" t="s">
        <v>2876</v>
      </c>
    </row>
    <row r="753" spans="1:2" x14ac:dyDescent="0.25">
      <c r="A753" s="125">
        <v>31035</v>
      </c>
      <c r="B753" s="126" t="s">
        <v>2877</v>
      </c>
    </row>
    <row r="754" spans="1:2" x14ac:dyDescent="0.25">
      <c r="A754" s="125">
        <v>31036</v>
      </c>
      <c r="B754" s="126" t="s">
        <v>2878</v>
      </c>
    </row>
    <row r="755" spans="1:2" x14ac:dyDescent="0.25">
      <c r="A755" s="125">
        <v>31037</v>
      </c>
      <c r="B755" s="126" t="s">
        <v>2879</v>
      </c>
    </row>
    <row r="756" spans="1:2" x14ac:dyDescent="0.25">
      <c r="A756" s="125">
        <v>31038</v>
      </c>
      <c r="B756" s="126" t="s">
        <v>14</v>
      </c>
    </row>
    <row r="757" spans="1:2" x14ac:dyDescent="0.25">
      <c r="A757" s="125">
        <v>31039</v>
      </c>
      <c r="B757" s="126" t="s">
        <v>2880</v>
      </c>
    </row>
    <row r="758" spans="1:2" x14ac:dyDescent="0.25">
      <c r="A758" s="125">
        <v>31040</v>
      </c>
      <c r="B758" s="126" t="s">
        <v>16</v>
      </c>
    </row>
    <row r="759" spans="1:2" x14ac:dyDescent="0.25">
      <c r="A759" s="125">
        <v>31041</v>
      </c>
      <c r="B759" s="126" t="s">
        <v>2881</v>
      </c>
    </row>
    <row r="760" spans="1:2" x14ac:dyDescent="0.25">
      <c r="A760" s="125">
        <v>31042</v>
      </c>
      <c r="B760" s="126" t="s">
        <v>2882</v>
      </c>
    </row>
    <row r="761" spans="1:2" x14ac:dyDescent="0.25">
      <c r="A761" s="125">
        <v>31043</v>
      </c>
      <c r="B761" s="126" t="s">
        <v>2883</v>
      </c>
    </row>
    <row r="762" spans="1:2" x14ac:dyDescent="0.25">
      <c r="A762" s="125">
        <v>31044</v>
      </c>
      <c r="B762" s="126" t="s">
        <v>2884</v>
      </c>
    </row>
    <row r="763" spans="1:2" x14ac:dyDescent="0.25">
      <c r="A763" s="125">
        <v>31045</v>
      </c>
      <c r="B763" s="126" t="s">
        <v>2885</v>
      </c>
    </row>
    <row r="764" spans="1:2" x14ac:dyDescent="0.25">
      <c r="A764" s="125">
        <v>31046</v>
      </c>
      <c r="B764" s="126" t="s">
        <v>2886</v>
      </c>
    </row>
    <row r="765" spans="1:2" x14ac:dyDescent="0.25">
      <c r="A765" s="125">
        <v>31047</v>
      </c>
      <c r="B765" s="126" t="s">
        <v>2887</v>
      </c>
    </row>
    <row r="766" spans="1:2" x14ac:dyDescent="0.25">
      <c r="A766" s="125">
        <v>31048</v>
      </c>
      <c r="B766" s="126" t="s">
        <v>2888</v>
      </c>
    </row>
    <row r="767" spans="1:2" ht="30" x14ac:dyDescent="0.25">
      <c r="A767" s="125">
        <v>31049</v>
      </c>
      <c r="B767" s="126" t="s">
        <v>2889</v>
      </c>
    </row>
    <row r="768" spans="1:2" x14ac:dyDescent="0.25">
      <c r="A768" s="125">
        <v>31050</v>
      </c>
      <c r="B768" s="126" t="s">
        <v>2890</v>
      </c>
    </row>
    <row r="769" spans="1:2" ht="30" x14ac:dyDescent="0.25">
      <c r="A769" s="125">
        <v>31051</v>
      </c>
      <c r="B769" s="126" t="s">
        <v>2891</v>
      </c>
    </row>
    <row r="770" spans="1:2" x14ac:dyDescent="0.25">
      <c r="A770" s="125">
        <v>31052</v>
      </c>
      <c r="B770" s="126" t="s">
        <v>2892</v>
      </c>
    </row>
    <row r="771" spans="1:2" ht="30" x14ac:dyDescent="0.25">
      <c r="A771" s="125">
        <v>31053</v>
      </c>
      <c r="B771" s="126" t="s">
        <v>2893</v>
      </c>
    </row>
    <row r="772" spans="1:2" x14ac:dyDescent="0.25">
      <c r="A772" s="125">
        <v>31054</v>
      </c>
      <c r="B772" s="126" t="s">
        <v>2894</v>
      </c>
    </row>
    <row r="773" spans="1:2" x14ac:dyDescent="0.25">
      <c r="A773" s="125">
        <v>31055</v>
      </c>
      <c r="B773" s="126" t="s">
        <v>2895</v>
      </c>
    </row>
    <row r="774" spans="1:2" x14ac:dyDescent="0.25">
      <c r="A774" s="125">
        <v>31056</v>
      </c>
      <c r="B774" s="126" t="s">
        <v>2896</v>
      </c>
    </row>
    <row r="775" spans="1:2" x14ac:dyDescent="0.25">
      <c r="A775" s="125">
        <v>31065</v>
      </c>
      <c r="B775" s="126" t="s">
        <v>2897</v>
      </c>
    </row>
    <row r="776" spans="1:2" x14ac:dyDescent="0.25">
      <c r="A776" s="125">
        <v>31066</v>
      </c>
      <c r="B776" s="126" t="s">
        <v>2898</v>
      </c>
    </row>
    <row r="777" spans="1:2" x14ac:dyDescent="0.25">
      <c r="A777" s="125">
        <v>31101</v>
      </c>
      <c r="B777" s="126" t="s">
        <v>2899</v>
      </c>
    </row>
    <row r="778" spans="1:2" x14ac:dyDescent="0.25">
      <c r="A778" s="125">
        <v>31102</v>
      </c>
      <c r="B778" s="126" t="s">
        <v>2900</v>
      </c>
    </row>
    <row r="779" spans="1:2" x14ac:dyDescent="0.25">
      <c r="A779" s="125">
        <v>31103</v>
      </c>
      <c r="B779" s="126" t="s">
        <v>2901</v>
      </c>
    </row>
    <row r="780" spans="1:2" x14ac:dyDescent="0.25">
      <c r="A780" s="125">
        <v>31104</v>
      </c>
      <c r="B780" s="126" t="s">
        <v>2902</v>
      </c>
    </row>
    <row r="781" spans="1:2" x14ac:dyDescent="0.25">
      <c r="A781" s="125">
        <v>31105</v>
      </c>
      <c r="B781" s="126" t="s">
        <v>2903</v>
      </c>
    </row>
    <row r="782" spans="1:2" x14ac:dyDescent="0.25">
      <c r="A782" s="125">
        <v>31106</v>
      </c>
      <c r="B782" s="126" t="s">
        <v>2904</v>
      </c>
    </row>
    <row r="783" spans="1:2" ht="30" x14ac:dyDescent="0.25">
      <c r="A783" s="125">
        <v>31107</v>
      </c>
      <c r="B783" s="126" t="s">
        <v>2905</v>
      </c>
    </row>
    <row r="784" spans="1:2" x14ac:dyDescent="0.25">
      <c r="A784" s="125">
        <v>31122</v>
      </c>
      <c r="B784" s="126" t="s">
        <v>2906</v>
      </c>
    </row>
    <row r="785" spans="1:2" ht="60" x14ac:dyDescent="0.25">
      <c r="A785" s="125">
        <v>31137</v>
      </c>
      <c r="B785" s="126" t="s">
        <v>2907</v>
      </c>
    </row>
    <row r="786" spans="1:2" ht="45" x14ac:dyDescent="0.25">
      <c r="A786" s="125">
        <v>31138</v>
      </c>
      <c r="B786" s="126" t="s">
        <v>2908</v>
      </c>
    </row>
    <row r="787" spans="1:2" ht="45" x14ac:dyDescent="0.25">
      <c r="A787" s="125">
        <v>31139</v>
      </c>
      <c r="B787" s="126" t="s">
        <v>2909</v>
      </c>
    </row>
    <row r="788" spans="1:2" x14ac:dyDescent="0.25">
      <c r="A788" s="125">
        <v>31140</v>
      </c>
      <c r="B788" s="126" t="s">
        <v>2910</v>
      </c>
    </row>
    <row r="789" spans="1:2" x14ac:dyDescent="0.25">
      <c r="A789" s="125">
        <v>31141</v>
      </c>
      <c r="B789" s="126" t="s">
        <v>2911</v>
      </c>
    </row>
    <row r="790" spans="1:2" x14ac:dyDescent="0.25">
      <c r="A790" s="125">
        <v>31142</v>
      </c>
      <c r="B790" s="126" t="s">
        <v>2912</v>
      </c>
    </row>
    <row r="791" spans="1:2" x14ac:dyDescent="0.25">
      <c r="A791" s="125">
        <v>31143</v>
      </c>
      <c r="B791" s="126" t="s">
        <v>2913</v>
      </c>
    </row>
    <row r="792" spans="1:2" x14ac:dyDescent="0.25">
      <c r="A792" s="125">
        <v>31144</v>
      </c>
      <c r="B792" s="126" t="s">
        <v>2914</v>
      </c>
    </row>
    <row r="793" spans="1:2" x14ac:dyDescent="0.25">
      <c r="A793" s="125">
        <v>31145</v>
      </c>
      <c r="B793" s="126" t="s">
        <v>2915</v>
      </c>
    </row>
    <row r="794" spans="1:2" x14ac:dyDescent="0.25">
      <c r="A794" s="125">
        <v>31146</v>
      </c>
      <c r="B794" s="126" t="s">
        <v>2916</v>
      </c>
    </row>
    <row r="795" spans="1:2" x14ac:dyDescent="0.25">
      <c r="A795" s="125">
        <v>31147</v>
      </c>
      <c r="B795" s="126" t="s">
        <v>2917</v>
      </c>
    </row>
    <row r="796" spans="1:2" x14ac:dyDescent="0.25">
      <c r="A796" s="125">
        <v>31148</v>
      </c>
      <c r="B796" s="126" t="s">
        <v>2918</v>
      </c>
    </row>
    <row r="797" spans="1:2" x14ac:dyDescent="0.25">
      <c r="A797" s="125">
        <v>31149</v>
      </c>
      <c r="B797" s="142" t="s">
        <v>2919</v>
      </c>
    </row>
    <row r="798" spans="1:2" x14ac:dyDescent="0.25">
      <c r="A798" s="125">
        <v>31150</v>
      </c>
      <c r="B798" s="126" t="s">
        <v>2920</v>
      </c>
    </row>
    <row r="799" spans="1:2" x14ac:dyDescent="0.25">
      <c r="A799" s="125">
        <v>31151</v>
      </c>
      <c r="B799" s="126" t="s">
        <v>2921</v>
      </c>
    </row>
    <row r="800" spans="1:2" x14ac:dyDescent="0.25">
      <c r="A800" s="125">
        <v>31200</v>
      </c>
      <c r="B800" s="126" t="s">
        <v>2922</v>
      </c>
    </row>
    <row r="801" spans="1:2" x14ac:dyDescent="0.25">
      <c r="A801" s="125">
        <v>31201</v>
      </c>
      <c r="B801" s="126" t="s">
        <v>2923</v>
      </c>
    </row>
    <row r="802" spans="1:2" x14ac:dyDescent="0.25">
      <c r="A802" s="125">
        <v>31202</v>
      </c>
      <c r="B802" s="126" t="s">
        <v>2924</v>
      </c>
    </row>
    <row r="803" spans="1:2" x14ac:dyDescent="0.25">
      <c r="A803" s="125">
        <v>31203</v>
      </c>
      <c r="B803" s="126" t="s">
        <v>2925</v>
      </c>
    </row>
    <row r="804" spans="1:2" x14ac:dyDescent="0.25">
      <c r="A804" s="125">
        <v>31204</v>
      </c>
      <c r="B804" s="126" t="s">
        <v>2926</v>
      </c>
    </row>
    <row r="805" spans="1:2" x14ac:dyDescent="0.25">
      <c r="A805" s="125">
        <v>31205</v>
      </c>
      <c r="B805" s="126" t="s">
        <v>2927</v>
      </c>
    </row>
    <row r="806" spans="1:2" x14ac:dyDescent="0.25">
      <c r="A806" s="125">
        <v>31206</v>
      </c>
      <c r="B806" s="126" t="s">
        <v>2928</v>
      </c>
    </row>
    <row r="807" spans="1:2" x14ac:dyDescent="0.25">
      <c r="A807" s="125">
        <v>31207</v>
      </c>
      <c r="B807" s="126" t="s">
        <v>2929</v>
      </c>
    </row>
    <row r="808" spans="1:2" x14ac:dyDescent="0.25">
      <c r="A808" s="125">
        <v>31208</v>
      </c>
      <c r="B808" s="126" t="s">
        <v>2930</v>
      </c>
    </row>
    <row r="809" spans="1:2" x14ac:dyDescent="0.25">
      <c r="A809" s="125">
        <v>31209</v>
      </c>
      <c r="B809" s="126" t="s">
        <v>2931</v>
      </c>
    </row>
    <row r="810" spans="1:2" x14ac:dyDescent="0.25">
      <c r="A810" s="125">
        <v>31210</v>
      </c>
      <c r="B810" s="126" t="s">
        <v>2932</v>
      </c>
    </row>
    <row r="811" spans="1:2" x14ac:dyDescent="0.25">
      <c r="A811" s="125">
        <v>31211</v>
      </c>
      <c r="B811" s="126" t="s">
        <v>2933</v>
      </c>
    </row>
    <row r="812" spans="1:2" x14ac:dyDescent="0.25">
      <c r="A812" s="125">
        <v>31212</v>
      </c>
      <c r="B812" s="126" t="s">
        <v>2934</v>
      </c>
    </row>
    <row r="813" spans="1:2" x14ac:dyDescent="0.25">
      <c r="A813" s="125">
        <v>31213</v>
      </c>
      <c r="B813" s="126" t="s">
        <v>81</v>
      </c>
    </row>
    <row r="814" spans="1:2" x14ac:dyDescent="0.25">
      <c r="A814" s="125">
        <v>31214</v>
      </c>
      <c r="B814" s="128" t="s">
        <v>3645</v>
      </c>
    </row>
    <row r="815" spans="1:2" ht="45" x14ac:dyDescent="0.25">
      <c r="A815" s="125">
        <v>31215</v>
      </c>
      <c r="B815" s="128" t="s">
        <v>3882</v>
      </c>
    </row>
    <row r="816" spans="1:2" x14ac:dyDescent="0.25">
      <c r="A816" s="127">
        <v>31219</v>
      </c>
      <c r="B816" s="127" t="s">
        <v>2935</v>
      </c>
    </row>
    <row r="817" spans="1:2" x14ac:dyDescent="0.25">
      <c r="A817" s="125">
        <v>31391</v>
      </c>
      <c r="B817" s="126" t="s">
        <v>2936</v>
      </c>
    </row>
    <row r="818" spans="1:2" x14ac:dyDescent="0.25">
      <c r="A818" s="125">
        <v>31401</v>
      </c>
      <c r="B818" s="126" t="s">
        <v>2937</v>
      </c>
    </row>
    <row r="819" spans="1:2" x14ac:dyDescent="0.25">
      <c r="A819" s="125">
        <v>31431</v>
      </c>
      <c r="B819" s="126" t="s">
        <v>2938</v>
      </c>
    </row>
    <row r="820" spans="1:2" x14ac:dyDescent="0.25">
      <c r="A820" s="125">
        <v>31542</v>
      </c>
      <c r="B820" s="126" t="s">
        <v>2939</v>
      </c>
    </row>
    <row r="821" spans="1:2" x14ac:dyDescent="0.25">
      <c r="A821" s="125">
        <v>31591</v>
      </c>
      <c r="B821" s="126" t="s">
        <v>2940</v>
      </c>
    </row>
    <row r="822" spans="1:2" x14ac:dyDescent="0.25">
      <c r="A822" s="125">
        <v>31601</v>
      </c>
      <c r="B822" s="126" t="s">
        <v>2941</v>
      </c>
    </row>
    <row r="823" spans="1:2" x14ac:dyDescent="0.25">
      <c r="A823" s="125">
        <v>31628</v>
      </c>
      <c r="B823" s="126" t="s">
        <v>2942</v>
      </c>
    </row>
    <row r="824" spans="1:2" x14ac:dyDescent="0.25">
      <c r="A824" s="125">
        <v>31636</v>
      </c>
      <c r="B824" s="126" t="s">
        <v>55</v>
      </c>
    </row>
    <row r="825" spans="1:2" x14ac:dyDescent="0.25">
      <c r="A825" s="125">
        <v>31652</v>
      </c>
      <c r="B825" s="126" t="s">
        <v>2943</v>
      </c>
    </row>
    <row r="826" spans="1:2" x14ac:dyDescent="0.25">
      <c r="A826" s="125">
        <v>31660</v>
      </c>
      <c r="B826" s="126" t="s">
        <v>2944</v>
      </c>
    </row>
    <row r="827" spans="1:2" x14ac:dyDescent="0.25">
      <c r="A827" s="125">
        <v>31679</v>
      </c>
      <c r="B827" s="126" t="s">
        <v>2945</v>
      </c>
    </row>
    <row r="828" spans="1:2" x14ac:dyDescent="0.25">
      <c r="A828" s="125">
        <v>31700</v>
      </c>
      <c r="B828" s="126" t="s">
        <v>2946</v>
      </c>
    </row>
    <row r="829" spans="1:2" x14ac:dyDescent="0.25">
      <c r="A829" s="125">
        <v>31701</v>
      </c>
      <c r="B829" s="126" t="s">
        <v>2947</v>
      </c>
    </row>
    <row r="830" spans="1:2" x14ac:dyDescent="0.25">
      <c r="A830" s="125">
        <v>31709</v>
      </c>
      <c r="B830" s="126" t="s">
        <v>2948</v>
      </c>
    </row>
    <row r="831" spans="1:2" x14ac:dyDescent="0.25">
      <c r="A831" s="125">
        <v>31710</v>
      </c>
      <c r="B831" s="126" t="s">
        <v>2949</v>
      </c>
    </row>
    <row r="832" spans="1:2" x14ac:dyDescent="0.25">
      <c r="A832" s="125">
        <v>31720</v>
      </c>
      <c r="B832" s="126" t="s">
        <v>2950</v>
      </c>
    </row>
    <row r="833" spans="1:2" x14ac:dyDescent="0.25">
      <c r="A833" s="125">
        <v>31723</v>
      </c>
      <c r="B833" s="126" t="s">
        <v>2951</v>
      </c>
    </row>
    <row r="834" spans="1:2" x14ac:dyDescent="0.25">
      <c r="A834" s="125">
        <v>31724</v>
      </c>
      <c r="B834" s="126" t="s">
        <v>2952</v>
      </c>
    </row>
    <row r="835" spans="1:2" x14ac:dyDescent="0.25">
      <c r="A835" s="125">
        <v>31729</v>
      </c>
      <c r="B835" s="126" t="s">
        <v>2953</v>
      </c>
    </row>
    <row r="836" spans="1:2" x14ac:dyDescent="0.25">
      <c r="A836" s="125">
        <v>31751</v>
      </c>
      <c r="B836" s="126" t="s">
        <v>2954</v>
      </c>
    </row>
    <row r="837" spans="1:2" x14ac:dyDescent="0.25">
      <c r="A837" s="125">
        <v>31760</v>
      </c>
      <c r="B837" s="126" t="s">
        <v>2955</v>
      </c>
    </row>
    <row r="838" spans="1:2" x14ac:dyDescent="0.25">
      <c r="A838" s="125">
        <v>31770</v>
      </c>
      <c r="B838" s="126" t="s">
        <v>2956</v>
      </c>
    </row>
    <row r="839" spans="1:2" x14ac:dyDescent="0.25">
      <c r="A839" s="125">
        <v>31780</v>
      </c>
      <c r="B839" s="126" t="s">
        <v>100</v>
      </c>
    </row>
    <row r="840" spans="1:2" x14ac:dyDescent="0.25">
      <c r="A840" s="125">
        <v>31790</v>
      </c>
      <c r="B840" s="126" t="s">
        <v>2957</v>
      </c>
    </row>
    <row r="841" spans="1:2" x14ac:dyDescent="0.25">
      <c r="A841" s="125">
        <v>31791</v>
      </c>
      <c r="B841" s="126" t="s">
        <v>2958</v>
      </c>
    </row>
    <row r="842" spans="1:2" x14ac:dyDescent="0.25">
      <c r="A842" s="125">
        <v>31800</v>
      </c>
      <c r="B842" s="126" t="s">
        <v>2959</v>
      </c>
    </row>
    <row r="843" spans="1:2" x14ac:dyDescent="0.25">
      <c r="A843" s="125">
        <v>31900</v>
      </c>
      <c r="B843" s="126" t="s">
        <v>2960</v>
      </c>
    </row>
    <row r="844" spans="1:2" x14ac:dyDescent="0.25">
      <c r="A844" s="125">
        <v>32041</v>
      </c>
      <c r="B844" s="126" t="s">
        <v>2961</v>
      </c>
    </row>
    <row r="845" spans="1:2" x14ac:dyDescent="0.25">
      <c r="A845" s="125">
        <v>32042</v>
      </c>
      <c r="B845" s="126" t="s">
        <v>2962</v>
      </c>
    </row>
    <row r="846" spans="1:2" x14ac:dyDescent="0.25">
      <c r="A846" s="125">
        <v>32043</v>
      </c>
      <c r="B846" s="126" t="s">
        <v>2963</v>
      </c>
    </row>
    <row r="847" spans="1:2" x14ac:dyDescent="0.25">
      <c r="A847" s="125">
        <v>32612</v>
      </c>
      <c r="B847" s="126" t="s">
        <v>2964</v>
      </c>
    </row>
    <row r="848" spans="1:2" x14ac:dyDescent="0.25">
      <c r="A848" s="125">
        <v>32727</v>
      </c>
      <c r="B848" s="126" t="s">
        <v>2965</v>
      </c>
    </row>
    <row r="849" spans="1:2" x14ac:dyDescent="0.25">
      <c r="A849" s="125">
        <v>33682</v>
      </c>
      <c r="B849" s="126" t="s">
        <v>2966</v>
      </c>
    </row>
    <row r="850" spans="1:2" x14ac:dyDescent="0.25">
      <c r="A850" s="125">
        <v>33690</v>
      </c>
      <c r="B850" s="126" t="s">
        <v>2967</v>
      </c>
    </row>
    <row r="851" spans="1:2" x14ac:dyDescent="0.25">
      <c r="A851" s="125">
        <v>34634</v>
      </c>
      <c r="B851" s="126" t="s">
        <v>2968</v>
      </c>
    </row>
    <row r="852" spans="1:2" x14ac:dyDescent="0.25">
      <c r="A852" s="125">
        <v>36330</v>
      </c>
      <c r="B852" s="126" t="s">
        <v>2969</v>
      </c>
    </row>
    <row r="853" spans="1:2" x14ac:dyDescent="0.25">
      <c r="A853" s="125">
        <v>36410</v>
      </c>
      <c r="B853" s="126" t="s">
        <v>2970</v>
      </c>
    </row>
    <row r="854" spans="1:2" x14ac:dyDescent="0.25">
      <c r="A854" s="125">
        <v>36760</v>
      </c>
      <c r="B854" s="126" t="s">
        <v>2971</v>
      </c>
    </row>
    <row r="855" spans="1:2" x14ac:dyDescent="0.25">
      <c r="A855" s="125">
        <v>38801</v>
      </c>
      <c r="B855" s="126" t="s">
        <v>2972</v>
      </c>
    </row>
    <row r="856" spans="1:2" x14ac:dyDescent="0.25">
      <c r="A856" s="125">
        <v>38802</v>
      </c>
      <c r="B856" s="126" t="s">
        <v>2973</v>
      </c>
    </row>
    <row r="857" spans="1:2" x14ac:dyDescent="0.25">
      <c r="A857" s="125">
        <v>38803</v>
      </c>
      <c r="B857" s="126" t="s">
        <v>2974</v>
      </c>
    </row>
    <row r="858" spans="1:2" x14ac:dyDescent="0.25">
      <c r="A858" s="125">
        <v>38804</v>
      </c>
      <c r="B858" s="126" t="s">
        <v>878</v>
      </c>
    </row>
    <row r="859" spans="1:2" x14ac:dyDescent="0.25">
      <c r="A859" s="125">
        <v>38805</v>
      </c>
      <c r="B859" s="126" t="s">
        <v>883</v>
      </c>
    </row>
    <row r="860" spans="1:2" x14ac:dyDescent="0.25">
      <c r="A860" s="125">
        <v>39001</v>
      </c>
      <c r="B860" s="126" t="s">
        <v>2975</v>
      </c>
    </row>
    <row r="861" spans="1:2" x14ac:dyDescent="0.25">
      <c r="A861" s="125">
        <v>39002</v>
      </c>
      <c r="B861" s="126" t="s">
        <v>2976</v>
      </c>
    </row>
    <row r="862" spans="1:2" x14ac:dyDescent="0.25">
      <c r="A862" s="125">
        <v>39020</v>
      </c>
      <c r="B862" s="126" t="s">
        <v>2977</v>
      </c>
    </row>
    <row r="863" spans="1:2" x14ac:dyDescent="0.25">
      <c r="A863" s="125">
        <v>39021</v>
      </c>
      <c r="B863" s="126" t="s">
        <v>2978</v>
      </c>
    </row>
    <row r="864" spans="1:2" x14ac:dyDescent="0.25">
      <c r="A864" s="125">
        <v>39060</v>
      </c>
      <c r="B864" s="126" t="s">
        <v>2979</v>
      </c>
    </row>
    <row r="865" spans="1:2" x14ac:dyDescent="0.25">
      <c r="A865" s="125">
        <v>39061</v>
      </c>
      <c r="B865" s="126" t="s">
        <v>2980</v>
      </c>
    </row>
    <row r="866" spans="1:2" x14ac:dyDescent="0.25">
      <c r="A866" s="125">
        <v>39078</v>
      </c>
      <c r="B866" s="126" t="s">
        <v>2981</v>
      </c>
    </row>
    <row r="867" spans="1:2" x14ac:dyDescent="0.25">
      <c r="A867" s="125">
        <v>39082</v>
      </c>
      <c r="B867" s="126" t="s">
        <v>2982</v>
      </c>
    </row>
    <row r="868" spans="1:2" x14ac:dyDescent="0.25">
      <c r="A868" s="125">
        <v>39095</v>
      </c>
      <c r="B868" s="126" t="s">
        <v>2983</v>
      </c>
    </row>
    <row r="869" spans="1:2" x14ac:dyDescent="0.25">
      <c r="A869" s="125">
        <v>39096</v>
      </c>
      <c r="B869" s="126" t="s">
        <v>2984</v>
      </c>
    </row>
    <row r="870" spans="1:2" x14ac:dyDescent="0.25">
      <c r="A870" s="125">
        <v>39097</v>
      </c>
      <c r="B870" s="126" t="s">
        <v>2529</v>
      </c>
    </row>
    <row r="871" spans="1:2" x14ac:dyDescent="0.25">
      <c r="A871" s="125">
        <v>39098</v>
      </c>
      <c r="B871" s="126" t="s">
        <v>2985</v>
      </c>
    </row>
    <row r="872" spans="1:2" x14ac:dyDescent="0.25">
      <c r="A872" s="125">
        <v>39204</v>
      </c>
      <c r="B872" s="126" t="s">
        <v>2986</v>
      </c>
    </row>
    <row r="873" spans="1:2" x14ac:dyDescent="0.25">
      <c r="A873" s="125">
        <v>39230</v>
      </c>
      <c r="B873" s="126" t="s">
        <v>2987</v>
      </c>
    </row>
    <row r="874" spans="1:2" x14ac:dyDescent="0.25">
      <c r="A874" s="125">
        <v>39231</v>
      </c>
      <c r="B874" s="126" t="s">
        <v>2988</v>
      </c>
    </row>
    <row r="875" spans="1:2" x14ac:dyDescent="0.25">
      <c r="A875" s="125">
        <v>39250</v>
      </c>
      <c r="B875" s="126" t="s">
        <v>2989</v>
      </c>
    </row>
    <row r="876" spans="1:2" x14ac:dyDescent="0.25">
      <c r="A876" s="125">
        <v>39277</v>
      </c>
      <c r="B876" s="126" t="s">
        <v>2990</v>
      </c>
    </row>
    <row r="877" spans="1:2" x14ac:dyDescent="0.25">
      <c r="A877" s="125">
        <v>39501</v>
      </c>
      <c r="B877" s="126" t="s">
        <v>2991</v>
      </c>
    </row>
    <row r="878" spans="1:2" x14ac:dyDescent="0.25">
      <c r="A878" s="125">
        <v>39502</v>
      </c>
      <c r="B878" s="126" t="s">
        <v>2992</v>
      </c>
    </row>
    <row r="879" spans="1:2" x14ac:dyDescent="0.25">
      <c r="A879" s="125">
        <v>39503</v>
      </c>
      <c r="B879" s="126" t="s">
        <v>2993</v>
      </c>
    </row>
    <row r="880" spans="1:2" x14ac:dyDescent="0.25">
      <c r="A880" s="125">
        <v>39504</v>
      </c>
      <c r="B880" s="126" t="s">
        <v>2994</v>
      </c>
    </row>
    <row r="881" spans="1:2" x14ac:dyDescent="0.25">
      <c r="A881" s="125">
        <v>39505</v>
      </c>
      <c r="B881" s="126" t="s">
        <v>2995</v>
      </c>
    </row>
    <row r="882" spans="1:2" x14ac:dyDescent="0.25">
      <c r="A882" s="125">
        <v>39506</v>
      </c>
      <c r="B882" s="143" t="s">
        <v>83</v>
      </c>
    </row>
    <row r="883" spans="1:2" x14ac:dyDescent="0.25">
      <c r="A883" s="125">
        <v>39659</v>
      </c>
      <c r="B883" s="126" t="s">
        <v>2996</v>
      </c>
    </row>
    <row r="884" spans="1:2" x14ac:dyDescent="0.25">
      <c r="A884" s="125">
        <v>39701</v>
      </c>
      <c r="B884" s="126" t="s">
        <v>2997</v>
      </c>
    </row>
    <row r="885" spans="1:2" x14ac:dyDescent="0.25">
      <c r="A885" s="125">
        <v>39734</v>
      </c>
      <c r="B885" s="126" t="s">
        <v>2998</v>
      </c>
    </row>
    <row r="886" spans="1:2" x14ac:dyDescent="0.25">
      <c r="A886" s="125">
        <v>39788</v>
      </c>
      <c r="B886" s="126" t="s">
        <v>2999</v>
      </c>
    </row>
    <row r="887" spans="1:2" x14ac:dyDescent="0.25">
      <c r="A887" s="125">
        <v>39792</v>
      </c>
      <c r="B887" s="126" t="s">
        <v>3000</v>
      </c>
    </row>
    <row r="888" spans="1:2" x14ac:dyDescent="0.25">
      <c r="A888" s="125">
        <v>39793</v>
      </c>
      <c r="B888" s="126" t="s">
        <v>3001</v>
      </c>
    </row>
    <row r="889" spans="1:2" x14ac:dyDescent="0.25">
      <c r="A889" s="125">
        <v>39794</v>
      </c>
      <c r="B889" s="126" t="s">
        <v>3002</v>
      </c>
    </row>
    <row r="890" spans="1:2" x14ac:dyDescent="0.25">
      <c r="A890" s="125">
        <v>39795</v>
      </c>
      <c r="B890" s="126" t="s">
        <v>3003</v>
      </c>
    </row>
    <row r="891" spans="1:2" x14ac:dyDescent="0.25">
      <c r="A891" s="125">
        <v>39796</v>
      </c>
      <c r="B891" s="126" t="s">
        <v>3004</v>
      </c>
    </row>
    <row r="892" spans="1:2" x14ac:dyDescent="0.25">
      <c r="A892" s="125">
        <v>39799</v>
      </c>
      <c r="B892" s="126" t="s">
        <v>3005</v>
      </c>
    </row>
    <row r="893" spans="1:2" x14ac:dyDescent="0.25">
      <c r="A893" s="125">
        <v>39801</v>
      </c>
      <c r="B893" s="126" t="s">
        <v>3006</v>
      </c>
    </row>
    <row r="894" spans="1:2" x14ac:dyDescent="0.25">
      <c r="A894" s="125">
        <v>39814</v>
      </c>
      <c r="B894" s="128" t="s">
        <v>64</v>
      </c>
    </row>
    <row r="895" spans="1:2" x14ac:dyDescent="0.25">
      <c r="A895" s="125">
        <v>39822</v>
      </c>
      <c r="B895" s="128" t="s">
        <v>3007</v>
      </c>
    </row>
    <row r="896" spans="1:2" x14ac:dyDescent="0.25">
      <c r="A896" s="125">
        <v>39900</v>
      </c>
      <c r="B896" s="126" t="s">
        <v>3008</v>
      </c>
    </row>
    <row r="897" spans="1:2" x14ac:dyDescent="0.25">
      <c r="A897" s="125">
        <v>39999</v>
      </c>
      <c r="B897" s="126" t="s">
        <v>3009</v>
      </c>
    </row>
    <row r="898" spans="1:2" x14ac:dyDescent="0.25">
      <c r="A898" s="125">
        <v>41003</v>
      </c>
      <c r="B898" s="126" t="s">
        <v>3010</v>
      </c>
    </row>
    <row r="899" spans="1:2" x14ac:dyDescent="0.25">
      <c r="A899" s="125">
        <v>41004</v>
      </c>
      <c r="B899" s="126" t="s">
        <v>3011</v>
      </c>
    </row>
    <row r="900" spans="1:2" x14ac:dyDescent="0.25">
      <c r="A900" s="125">
        <v>41005</v>
      </c>
      <c r="B900" s="126" t="s">
        <v>3012</v>
      </c>
    </row>
    <row r="901" spans="1:2" x14ac:dyDescent="0.25">
      <c r="A901" s="125">
        <v>41006</v>
      </c>
      <c r="B901" s="126" t="s">
        <v>3013</v>
      </c>
    </row>
    <row r="902" spans="1:2" x14ac:dyDescent="0.25">
      <c r="A902" s="125">
        <v>41007</v>
      </c>
      <c r="B902" s="126" t="s">
        <v>3014</v>
      </c>
    </row>
    <row r="903" spans="1:2" x14ac:dyDescent="0.25">
      <c r="A903" s="125">
        <v>41008</v>
      </c>
      <c r="B903" s="126" t="s">
        <v>3015</v>
      </c>
    </row>
    <row r="904" spans="1:2" x14ac:dyDescent="0.25">
      <c r="A904" s="125">
        <v>41009</v>
      </c>
      <c r="B904" s="126" t="s">
        <v>3016</v>
      </c>
    </row>
    <row r="905" spans="1:2" x14ac:dyDescent="0.25">
      <c r="A905" s="125">
        <v>41010</v>
      </c>
      <c r="B905" s="126" t="s">
        <v>3017</v>
      </c>
    </row>
    <row r="906" spans="1:2" x14ac:dyDescent="0.25">
      <c r="A906" s="125">
        <v>41011</v>
      </c>
      <c r="B906" s="126" t="s">
        <v>3018</v>
      </c>
    </row>
    <row r="907" spans="1:2" s="144" customFormat="1" x14ac:dyDescent="0.25">
      <c r="A907" s="125">
        <v>41012</v>
      </c>
      <c r="B907" s="126" t="s">
        <v>3019</v>
      </c>
    </row>
    <row r="908" spans="1:2" s="144" customFormat="1" x14ac:dyDescent="0.25">
      <c r="A908" s="125">
        <v>41013</v>
      </c>
      <c r="B908" s="126" t="s">
        <v>3020</v>
      </c>
    </row>
    <row r="909" spans="1:2" s="144" customFormat="1" x14ac:dyDescent="0.25">
      <c r="A909" s="125">
        <v>41014</v>
      </c>
      <c r="B909" s="126" t="s">
        <v>3021</v>
      </c>
    </row>
    <row r="910" spans="1:2" s="144" customFormat="1" x14ac:dyDescent="0.25">
      <c r="A910" s="125">
        <v>41015</v>
      </c>
      <c r="B910" s="126" t="s">
        <v>3022</v>
      </c>
    </row>
    <row r="911" spans="1:2" s="144" customFormat="1" x14ac:dyDescent="0.25">
      <c r="A911" s="125">
        <v>41016</v>
      </c>
      <c r="B911" s="126" t="s">
        <v>3023</v>
      </c>
    </row>
    <row r="912" spans="1:2" s="144" customFormat="1" x14ac:dyDescent="0.25">
      <c r="A912" s="125">
        <v>41017</v>
      </c>
      <c r="B912" s="126" t="s">
        <v>3024</v>
      </c>
    </row>
    <row r="913" spans="1:2" s="144" customFormat="1" x14ac:dyDescent="0.25">
      <c r="A913" s="125">
        <v>41018</v>
      </c>
      <c r="B913" s="126" t="s">
        <v>3025</v>
      </c>
    </row>
    <row r="914" spans="1:2" s="144" customFormat="1" x14ac:dyDescent="0.25">
      <c r="A914" s="125">
        <v>41019</v>
      </c>
      <c r="B914" s="126" t="s">
        <v>3026</v>
      </c>
    </row>
    <row r="915" spans="1:2" s="144" customFormat="1" x14ac:dyDescent="0.25">
      <c r="A915" s="125">
        <v>41020</v>
      </c>
      <c r="B915" s="126" t="s">
        <v>3883</v>
      </c>
    </row>
    <row r="916" spans="1:2" s="144" customFormat="1" x14ac:dyDescent="0.25">
      <c r="A916" s="125">
        <v>41021</v>
      </c>
      <c r="B916" s="126" t="s">
        <v>3884</v>
      </c>
    </row>
    <row r="917" spans="1:2" s="144" customFormat="1" ht="30" x14ac:dyDescent="0.25">
      <c r="A917" s="125">
        <v>41022</v>
      </c>
      <c r="B917" s="128" t="s">
        <v>3885</v>
      </c>
    </row>
    <row r="918" spans="1:2" s="144" customFormat="1" x14ac:dyDescent="0.25">
      <c r="A918" s="125">
        <v>41271</v>
      </c>
      <c r="B918" s="126" t="s">
        <v>3027</v>
      </c>
    </row>
    <row r="919" spans="1:2" s="144" customFormat="1" x14ac:dyDescent="0.25">
      <c r="A919" s="125">
        <v>41534</v>
      </c>
      <c r="B919" s="126" t="s">
        <v>3028</v>
      </c>
    </row>
    <row r="920" spans="1:2" x14ac:dyDescent="0.25">
      <c r="A920" s="125">
        <v>41535</v>
      </c>
      <c r="B920" s="126" t="s">
        <v>3029</v>
      </c>
    </row>
    <row r="921" spans="1:2" x14ac:dyDescent="0.25">
      <c r="A921" s="125">
        <v>41536</v>
      </c>
      <c r="B921" s="126" t="s">
        <v>3030</v>
      </c>
    </row>
    <row r="922" spans="1:2" x14ac:dyDescent="0.25">
      <c r="A922" s="125">
        <v>41537</v>
      </c>
      <c r="B922" s="126" t="s">
        <v>3031</v>
      </c>
    </row>
    <row r="923" spans="1:2" x14ac:dyDescent="0.25">
      <c r="A923" s="125">
        <v>41544</v>
      </c>
      <c r="B923" s="126" t="s">
        <v>3032</v>
      </c>
    </row>
    <row r="924" spans="1:2" x14ac:dyDescent="0.25">
      <c r="A924" s="125">
        <v>41545</v>
      </c>
      <c r="B924" s="126" t="s">
        <v>3033</v>
      </c>
    </row>
    <row r="925" spans="1:2" x14ac:dyDescent="0.25">
      <c r="A925" s="125">
        <v>41546</v>
      </c>
      <c r="B925" s="126" t="s">
        <v>3034</v>
      </c>
    </row>
    <row r="926" spans="1:2" x14ac:dyDescent="0.25">
      <c r="A926" s="125">
        <v>41547</v>
      </c>
      <c r="B926" s="128" t="s">
        <v>3646</v>
      </c>
    </row>
    <row r="927" spans="1:2" x14ac:dyDescent="0.25">
      <c r="A927" s="125">
        <v>41548</v>
      </c>
      <c r="B927" s="128" t="s">
        <v>3647</v>
      </c>
    </row>
    <row r="928" spans="1:2" x14ac:dyDescent="0.25">
      <c r="A928" s="125">
        <v>41549</v>
      </c>
      <c r="B928" s="128" t="s">
        <v>3886</v>
      </c>
    </row>
    <row r="929" spans="1:2" ht="30" x14ac:dyDescent="0.25">
      <c r="A929" s="125">
        <v>41552</v>
      </c>
      <c r="B929" s="126" t="s">
        <v>3035</v>
      </c>
    </row>
    <row r="930" spans="1:2" ht="30" x14ac:dyDescent="0.25">
      <c r="A930" s="125">
        <v>41553</v>
      </c>
      <c r="B930" s="126" t="s">
        <v>3036</v>
      </c>
    </row>
    <row r="931" spans="1:2" ht="45" x14ac:dyDescent="0.25">
      <c r="A931" s="125">
        <v>41554</v>
      </c>
      <c r="B931" s="128" t="s">
        <v>3037</v>
      </c>
    </row>
    <row r="932" spans="1:2" ht="30" x14ac:dyDescent="0.25">
      <c r="A932" s="125">
        <v>41555</v>
      </c>
      <c r="B932" s="126" t="s">
        <v>3038</v>
      </c>
    </row>
    <row r="933" spans="1:2" x14ac:dyDescent="0.25">
      <c r="A933" s="125">
        <v>41556</v>
      </c>
      <c r="B933" s="126" t="s">
        <v>3039</v>
      </c>
    </row>
    <row r="934" spans="1:2" x14ac:dyDescent="0.25">
      <c r="A934" s="125">
        <v>41576</v>
      </c>
      <c r="B934" s="126" t="s">
        <v>3040</v>
      </c>
    </row>
    <row r="935" spans="1:2" x14ac:dyDescent="0.25">
      <c r="A935" s="125">
        <v>41592</v>
      </c>
      <c r="B935" s="126" t="s">
        <v>3041</v>
      </c>
    </row>
    <row r="936" spans="1:2" x14ac:dyDescent="0.25">
      <c r="A936" s="125">
        <v>41593</v>
      </c>
      <c r="B936" s="128" t="s">
        <v>3042</v>
      </c>
    </row>
    <row r="937" spans="1:2" x14ac:dyDescent="0.25">
      <c r="A937" s="125">
        <v>41598</v>
      </c>
      <c r="B937" s="126" t="s">
        <v>3043</v>
      </c>
    </row>
    <row r="938" spans="1:2" x14ac:dyDescent="0.25">
      <c r="A938" s="125">
        <v>41599</v>
      </c>
      <c r="B938" s="126" t="s">
        <v>3044</v>
      </c>
    </row>
    <row r="939" spans="1:2" x14ac:dyDescent="0.25">
      <c r="A939" s="125">
        <v>41600</v>
      </c>
      <c r="B939" s="126" t="s">
        <v>3045</v>
      </c>
    </row>
    <row r="940" spans="1:2" x14ac:dyDescent="0.25">
      <c r="A940" s="125">
        <v>41601</v>
      </c>
      <c r="B940" s="126" t="s">
        <v>3046</v>
      </c>
    </row>
    <row r="941" spans="1:2" ht="30" x14ac:dyDescent="0.25">
      <c r="A941" s="125">
        <v>41602</v>
      </c>
      <c r="B941" s="126" t="s">
        <v>3047</v>
      </c>
    </row>
    <row r="942" spans="1:2" x14ac:dyDescent="0.25">
      <c r="A942" s="125">
        <v>41614</v>
      </c>
      <c r="B942" s="126" t="s">
        <v>3048</v>
      </c>
    </row>
    <row r="943" spans="1:2" x14ac:dyDescent="0.25">
      <c r="A943" s="127">
        <v>41719</v>
      </c>
      <c r="B943" s="127" t="s">
        <v>3049</v>
      </c>
    </row>
    <row r="944" spans="1:2" x14ac:dyDescent="0.25">
      <c r="A944" s="125">
        <v>41764</v>
      </c>
      <c r="B944" s="126" t="s">
        <v>3050</v>
      </c>
    </row>
    <row r="945" spans="1:2" x14ac:dyDescent="0.25">
      <c r="A945" s="125">
        <v>41815</v>
      </c>
      <c r="B945" s="126" t="s">
        <v>3051</v>
      </c>
    </row>
    <row r="946" spans="1:2" ht="30" x14ac:dyDescent="0.25">
      <c r="A946" s="125">
        <v>41816</v>
      </c>
      <c r="B946" s="128" t="s">
        <v>3052</v>
      </c>
    </row>
    <row r="947" spans="1:2" ht="30" x14ac:dyDescent="0.25">
      <c r="A947" s="125">
        <v>41818</v>
      </c>
      <c r="B947" s="126" t="s">
        <v>3053</v>
      </c>
    </row>
    <row r="948" spans="1:2" x14ac:dyDescent="0.25">
      <c r="A948" s="125">
        <v>41819</v>
      </c>
      <c r="B948" s="126" t="s">
        <v>3054</v>
      </c>
    </row>
    <row r="949" spans="1:2" x14ac:dyDescent="0.25">
      <c r="A949" s="125">
        <v>41820</v>
      </c>
      <c r="B949" s="126" t="s">
        <v>3055</v>
      </c>
    </row>
    <row r="950" spans="1:2" x14ac:dyDescent="0.25">
      <c r="A950" s="125">
        <v>41822</v>
      </c>
      <c r="B950" s="126" t="s">
        <v>3056</v>
      </c>
    </row>
    <row r="951" spans="1:2" x14ac:dyDescent="0.25">
      <c r="A951" s="125">
        <v>41823</v>
      </c>
      <c r="B951" s="126" t="s">
        <v>3057</v>
      </c>
    </row>
    <row r="952" spans="1:2" x14ac:dyDescent="0.25">
      <c r="A952" s="125">
        <v>41824</v>
      </c>
      <c r="B952" s="126" t="s">
        <v>3058</v>
      </c>
    </row>
    <row r="953" spans="1:2" x14ac:dyDescent="0.25">
      <c r="A953" s="125">
        <v>41827</v>
      </c>
      <c r="B953" s="126" t="s">
        <v>3059</v>
      </c>
    </row>
    <row r="954" spans="1:2" x14ac:dyDescent="0.25">
      <c r="A954" s="125">
        <v>41828</v>
      </c>
      <c r="B954" s="126" t="s">
        <v>3060</v>
      </c>
    </row>
    <row r="955" spans="1:2" x14ac:dyDescent="0.25">
      <c r="A955" s="125">
        <v>41916</v>
      </c>
      <c r="B955" s="126" t="s">
        <v>3061</v>
      </c>
    </row>
    <row r="956" spans="1:2" x14ac:dyDescent="0.25">
      <c r="A956" s="125">
        <v>41917</v>
      </c>
      <c r="B956" s="142" t="s">
        <v>3049</v>
      </c>
    </row>
    <row r="957" spans="1:2" x14ac:dyDescent="0.25">
      <c r="A957" s="125">
        <v>41918</v>
      </c>
      <c r="B957" s="126" t="s">
        <v>3062</v>
      </c>
    </row>
    <row r="958" spans="1:2" x14ac:dyDescent="0.25">
      <c r="A958" s="125">
        <v>41926</v>
      </c>
      <c r="B958" s="126" t="s">
        <v>3063</v>
      </c>
    </row>
    <row r="959" spans="1:2" x14ac:dyDescent="0.25">
      <c r="A959" s="125">
        <v>41927</v>
      </c>
      <c r="B959" s="126" t="s">
        <v>3064</v>
      </c>
    </row>
    <row r="960" spans="1:2" x14ac:dyDescent="0.25">
      <c r="A960" s="125">
        <v>41928</v>
      </c>
      <c r="B960" s="126" t="s">
        <v>3065</v>
      </c>
    </row>
    <row r="961" spans="1:2" x14ac:dyDescent="0.25">
      <c r="A961" s="125">
        <v>41930</v>
      </c>
      <c r="B961" s="126" t="s">
        <v>3066</v>
      </c>
    </row>
    <row r="962" spans="1:2" x14ac:dyDescent="0.25">
      <c r="A962" s="125">
        <v>41935</v>
      </c>
      <c r="B962" s="126" t="s">
        <v>3067</v>
      </c>
    </row>
    <row r="963" spans="1:2" ht="30" x14ac:dyDescent="0.25">
      <c r="A963" s="125">
        <v>41936</v>
      </c>
      <c r="B963" s="126" t="s">
        <v>3068</v>
      </c>
    </row>
    <row r="964" spans="1:2" x14ac:dyDescent="0.25">
      <c r="A964" s="125">
        <v>41937</v>
      </c>
      <c r="B964" s="126" t="s">
        <v>3069</v>
      </c>
    </row>
    <row r="965" spans="1:2" x14ac:dyDescent="0.25">
      <c r="A965" s="125">
        <v>41938</v>
      </c>
      <c r="B965" s="126" t="s">
        <v>3070</v>
      </c>
    </row>
    <row r="966" spans="1:2" x14ac:dyDescent="0.25">
      <c r="A966" s="125">
        <v>41939</v>
      </c>
      <c r="B966" s="126" t="s">
        <v>3071</v>
      </c>
    </row>
    <row r="967" spans="1:2" x14ac:dyDescent="0.25">
      <c r="A967" s="125">
        <v>41940</v>
      </c>
      <c r="B967" s="126" t="s">
        <v>3072</v>
      </c>
    </row>
    <row r="968" spans="1:2" x14ac:dyDescent="0.25">
      <c r="A968" s="125">
        <v>41941</v>
      </c>
      <c r="B968" s="145" t="s">
        <v>3073</v>
      </c>
    </row>
    <row r="969" spans="1:2" x14ac:dyDescent="0.25">
      <c r="A969" s="125">
        <v>41943</v>
      </c>
      <c r="B969" s="126" t="s">
        <v>430</v>
      </c>
    </row>
    <row r="970" spans="1:2" x14ac:dyDescent="0.25">
      <c r="A970" s="125">
        <v>41944</v>
      </c>
      <c r="B970" s="126" t="s">
        <v>3887</v>
      </c>
    </row>
    <row r="971" spans="1:2" x14ac:dyDescent="0.25">
      <c r="A971" s="125">
        <v>42001</v>
      </c>
      <c r="B971" s="126" t="s">
        <v>3074</v>
      </c>
    </row>
    <row r="972" spans="1:2" x14ac:dyDescent="0.25">
      <c r="A972" s="125">
        <v>42002</v>
      </c>
      <c r="B972" s="126" t="s">
        <v>3075</v>
      </c>
    </row>
    <row r="973" spans="1:2" x14ac:dyDescent="0.25">
      <c r="A973" s="125">
        <v>42003</v>
      </c>
      <c r="B973" s="126" t="s">
        <v>3076</v>
      </c>
    </row>
    <row r="974" spans="1:2" x14ac:dyDescent="0.25">
      <c r="A974" s="125">
        <v>42004</v>
      </c>
      <c r="B974" s="126" t="s">
        <v>3077</v>
      </c>
    </row>
    <row r="975" spans="1:2" x14ac:dyDescent="0.25">
      <c r="A975" s="125">
        <v>42005</v>
      </c>
      <c r="B975" s="126" t="s">
        <v>3078</v>
      </c>
    </row>
    <row r="976" spans="1:2" ht="30" x14ac:dyDescent="0.25">
      <c r="A976" s="125">
        <v>42006</v>
      </c>
      <c r="B976" s="126" t="s">
        <v>3079</v>
      </c>
    </row>
    <row r="977" spans="1:2" x14ac:dyDescent="0.25">
      <c r="A977" s="125">
        <v>42007</v>
      </c>
      <c r="B977" s="126" t="s">
        <v>3080</v>
      </c>
    </row>
    <row r="978" spans="1:2" x14ac:dyDescent="0.25">
      <c r="A978" s="125">
        <v>42008</v>
      </c>
      <c r="B978" s="126" t="s">
        <v>3081</v>
      </c>
    </row>
    <row r="979" spans="1:2" x14ac:dyDescent="0.25">
      <c r="A979" s="125">
        <v>42009</v>
      </c>
      <c r="B979" s="126" t="s">
        <v>3082</v>
      </c>
    </row>
    <row r="980" spans="1:2" x14ac:dyDescent="0.25">
      <c r="A980" s="125">
        <v>42010</v>
      </c>
      <c r="B980" s="126" t="s">
        <v>3083</v>
      </c>
    </row>
    <row r="981" spans="1:2" x14ac:dyDescent="0.25">
      <c r="A981" s="125">
        <v>42011</v>
      </c>
      <c r="B981" s="126" t="s">
        <v>3084</v>
      </c>
    </row>
    <row r="982" spans="1:2" x14ac:dyDescent="0.25">
      <c r="A982" s="125">
        <v>42012</v>
      </c>
      <c r="B982" s="126" t="s">
        <v>3085</v>
      </c>
    </row>
    <row r="983" spans="1:2" x14ac:dyDescent="0.25">
      <c r="A983" s="125">
        <v>42013</v>
      </c>
      <c r="B983" s="126" t="s">
        <v>3086</v>
      </c>
    </row>
    <row r="984" spans="1:2" x14ac:dyDescent="0.25">
      <c r="A984" s="125">
        <v>42014</v>
      </c>
      <c r="B984" s="126" t="s">
        <v>3087</v>
      </c>
    </row>
    <row r="985" spans="1:2" x14ac:dyDescent="0.25">
      <c r="A985" s="125">
        <v>42015</v>
      </c>
      <c r="B985" s="126" t="s">
        <v>3088</v>
      </c>
    </row>
    <row r="986" spans="1:2" x14ac:dyDescent="0.25">
      <c r="A986" s="125">
        <v>42016</v>
      </c>
      <c r="B986" s="126" t="s">
        <v>3089</v>
      </c>
    </row>
    <row r="987" spans="1:2" x14ac:dyDescent="0.25">
      <c r="A987" s="125">
        <v>42017</v>
      </c>
      <c r="B987" s="126" t="s">
        <v>3090</v>
      </c>
    </row>
    <row r="988" spans="1:2" x14ac:dyDescent="0.25">
      <c r="A988" s="125">
        <v>42018</v>
      </c>
      <c r="B988" s="126" t="s">
        <v>3091</v>
      </c>
    </row>
    <row r="989" spans="1:2" x14ac:dyDescent="0.25">
      <c r="A989" s="125">
        <v>42019</v>
      </c>
      <c r="B989" s="126" t="s">
        <v>3092</v>
      </c>
    </row>
    <row r="990" spans="1:2" x14ac:dyDescent="0.25">
      <c r="A990" s="125">
        <v>42020</v>
      </c>
      <c r="B990" s="126" t="s">
        <v>3093</v>
      </c>
    </row>
    <row r="991" spans="1:2" ht="60" x14ac:dyDescent="0.25">
      <c r="A991" s="125">
        <v>42021</v>
      </c>
      <c r="B991" s="128" t="s">
        <v>3094</v>
      </c>
    </row>
    <row r="992" spans="1:2" x14ac:dyDescent="0.25">
      <c r="A992" s="125">
        <v>42022</v>
      </c>
      <c r="B992" s="126" t="s">
        <v>3095</v>
      </c>
    </row>
    <row r="993" spans="1:2" x14ac:dyDescent="0.25">
      <c r="A993" s="125">
        <v>42023</v>
      </c>
      <c r="B993" s="128" t="s">
        <v>3648</v>
      </c>
    </row>
    <row r="994" spans="1:2" x14ac:dyDescent="0.25">
      <c r="A994" s="125">
        <v>42024</v>
      </c>
      <c r="B994" s="126" t="s">
        <v>3096</v>
      </c>
    </row>
    <row r="995" spans="1:2" x14ac:dyDescent="0.25">
      <c r="A995" s="125">
        <v>42025</v>
      </c>
      <c r="B995" s="126" t="s">
        <v>3097</v>
      </c>
    </row>
    <row r="996" spans="1:2" x14ac:dyDescent="0.25">
      <c r="A996" s="125">
        <v>42026</v>
      </c>
      <c r="B996" s="126" t="s">
        <v>3098</v>
      </c>
    </row>
    <row r="997" spans="1:2" x14ac:dyDescent="0.25">
      <c r="A997" s="125">
        <v>42027</v>
      </c>
      <c r="B997" s="126" t="s">
        <v>3099</v>
      </c>
    </row>
    <row r="998" spans="1:2" x14ac:dyDescent="0.25">
      <c r="A998" s="125">
        <v>42028</v>
      </c>
      <c r="B998" s="126" t="s">
        <v>3100</v>
      </c>
    </row>
    <row r="999" spans="1:2" x14ac:dyDescent="0.25">
      <c r="A999" s="125">
        <v>42029</v>
      </c>
      <c r="B999" s="126" t="s">
        <v>3101</v>
      </c>
    </row>
    <row r="1000" spans="1:2" x14ac:dyDescent="0.25">
      <c r="A1000" s="125">
        <v>42030</v>
      </c>
      <c r="B1000" s="126" t="s">
        <v>3102</v>
      </c>
    </row>
    <row r="1001" spans="1:2" x14ac:dyDescent="0.25">
      <c r="A1001" s="125">
        <v>42031</v>
      </c>
      <c r="B1001" s="126" t="s">
        <v>3103</v>
      </c>
    </row>
    <row r="1002" spans="1:2" x14ac:dyDescent="0.25">
      <c r="A1002" s="125">
        <v>42032</v>
      </c>
      <c r="B1002" s="126" t="s">
        <v>3104</v>
      </c>
    </row>
    <row r="1003" spans="1:2" x14ac:dyDescent="0.25">
      <c r="A1003" s="125">
        <v>42033</v>
      </c>
      <c r="B1003" s="126" t="s">
        <v>3105</v>
      </c>
    </row>
    <row r="1004" spans="1:2" x14ac:dyDescent="0.25">
      <c r="A1004" s="125">
        <v>42034</v>
      </c>
      <c r="B1004" s="126" t="s">
        <v>3106</v>
      </c>
    </row>
    <row r="1005" spans="1:2" x14ac:dyDescent="0.25">
      <c r="A1005" s="125">
        <v>42035</v>
      </c>
      <c r="B1005" s="126" t="s">
        <v>3107</v>
      </c>
    </row>
    <row r="1006" spans="1:2" x14ac:dyDescent="0.25">
      <c r="A1006" s="125">
        <v>42036</v>
      </c>
      <c r="B1006" s="126" t="s">
        <v>3108</v>
      </c>
    </row>
    <row r="1007" spans="1:2" x14ac:dyDescent="0.25">
      <c r="A1007" s="125">
        <v>42037</v>
      </c>
      <c r="B1007" s="126" t="s">
        <v>3109</v>
      </c>
    </row>
    <row r="1008" spans="1:2" x14ac:dyDescent="0.25">
      <c r="A1008" s="125">
        <v>42038</v>
      </c>
      <c r="B1008" s="126" t="s">
        <v>3110</v>
      </c>
    </row>
    <row r="1009" spans="1:2" x14ac:dyDescent="0.25">
      <c r="A1009" s="125">
        <v>42039</v>
      </c>
      <c r="B1009" s="126" t="s">
        <v>3111</v>
      </c>
    </row>
    <row r="1010" spans="1:2" x14ac:dyDescent="0.25">
      <c r="A1010" s="125">
        <v>42040</v>
      </c>
      <c r="B1010" s="126" t="s">
        <v>3112</v>
      </c>
    </row>
    <row r="1011" spans="1:2" x14ac:dyDescent="0.25">
      <c r="A1011" s="125">
        <v>42041</v>
      </c>
      <c r="B1011" s="126" t="s">
        <v>3113</v>
      </c>
    </row>
    <row r="1012" spans="1:2" x14ac:dyDescent="0.25">
      <c r="A1012" s="125">
        <v>42042</v>
      </c>
      <c r="B1012" s="126" t="s">
        <v>3114</v>
      </c>
    </row>
    <row r="1013" spans="1:2" x14ac:dyDescent="0.25">
      <c r="A1013" s="125">
        <v>42043</v>
      </c>
      <c r="B1013" s="126" t="s">
        <v>3115</v>
      </c>
    </row>
    <row r="1014" spans="1:2" x14ac:dyDescent="0.25">
      <c r="A1014" s="125">
        <v>42044</v>
      </c>
      <c r="B1014" s="126" t="s">
        <v>3116</v>
      </c>
    </row>
    <row r="1015" spans="1:2" x14ac:dyDescent="0.25">
      <c r="A1015" s="125">
        <v>42045</v>
      </c>
      <c r="B1015" s="126" t="s">
        <v>3117</v>
      </c>
    </row>
    <row r="1016" spans="1:2" x14ac:dyDescent="0.25">
      <c r="A1016" s="125">
        <v>42046</v>
      </c>
      <c r="B1016" s="126" t="s">
        <v>3118</v>
      </c>
    </row>
    <row r="1017" spans="1:2" x14ac:dyDescent="0.25">
      <c r="A1017" s="125">
        <v>42047</v>
      </c>
      <c r="B1017" s="126" t="s">
        <v>3119</v>
      </c>
    </row>
    <row r="1018" spans="1:2" x14ac:dyDescent="0.25">
      <c r="A1018" s="125">
        <v>42048</v>
      </c>
      <c r="B1018" s="126" t="s">
        <v>4498</v>
      </c>
    </row>
    <row r="1019" spans="1:2" x14ac:dyDescent="0.25">
      <c r="A1019" s="125">
        <v>42049</v>
      </c>
      <c r="B1019" s="126" t="s">
        <v>3120</v>
      </c>
    </row>
    <row r="1020" spans="1:2" x14ac:dyDescent="0.25">
      <c r="A1020" s="125">
        <v>42050</v>
      </c>
      <c r="B1020" s="126" t="s">
        <v>3121</v>
      </c>
    </row>
    <row r="1021" spans="1:2" x14ac:dyDescent="0.25">
      <c r="A1021" s="125">
        <v>42051</v>
      </c>
      <c r="B1021" s="126" t="s">
        <v>3122</v>
      </c>
    </row>
    <row r="1022" spans="1:2" x14ac:dyDescent="0.25">
      <c r="A1022" s="125">
        <v>42052</v>
      </c>
      <c r="B1022" s="126" t="s">
        <v>3123</v>
      </c>
    </row>
    <row r="1023" spans="1:2" x14ac:dyDescent="0.25">
      <c r="A1023" s="125">
        <v>42053</v>
      </c>
      <c r="B1023" s="146" t="s">
        <v>3124</v>
      </c>
    </row>
    <row r="1024" spans="1:2" x14ac:dyDescent="0.25">
      <c r="A1024" s="125">
        <v>42054</v>
      </c>
      <c r="B1024" s="146" t="s">
        <v>3125</v>
      </c>
    </row>
    <row r="1025" spans="1:2" ht="30" x14ac:dyDescent="0.25">
      <c r="A1025" s="125">
        <v>42055</v>
      </c>
      <c r="B1025" s="146" t="s">
        <v>3126</v>
      </c>
    </row>
    <row r="1026" spans="1:2" x14ac:dyDescent="0.25">
      <c r="A1026" s="125">
        <v>42056</v>
      </c>
      <c r="B1026" s="146" t="s">
        <v>3127</v>
      </c>
    </row>
    <row r="1027" spans="1:2" x14ac:dyDescent="0.25">
      <c r="A1027" s="125">
        <v>42057</v>
      </c>
      <c r="B1027" s="146" t="s">
        <v>3128</v>
      </c>
    </row>
    <row r="1028" spans="1:2" x14ac:dyDescent="0.25">
      <c r="A1028" s="125">
        <v>42058</v>
      </c>
      <c r="B1028" s="146" t="s">
        <v>3129</v>
      </c>
    </row>
    <row r="1029" spans="1:2" ht="30" x14ac:dyDescent="0.25">
      <c r="A1029" s="125">
        <v>42059</v>
      </c>
      <c r="B1029" s="146" t="s">
        <v>3130</v>
      </c>
    </row>
    <row r="1030" spans="1:2" x14ac:dyDescent="0.25">
      <c r="A1030" s="125">
        <v>42060</v>
      </c>
      <c r="B1030" s="146" t="s">
        <v>3131</v>
      </c>
    </row>
    <row r="1031" spans="1:2" x14ac:dyDescent="0.25">
      <c r="A1031" s="125">
        <v>42061</v>
      </c>
      <c r="B1031" s="146" t="s">
        <v>3132</v>
      </c>
    </row>
    <row r="1032" spans="1:2" x14ac:dyDescent="0.25">
      <c r="A1032" s="125">
        <v>42062</v>
      </c>
      <c r="B1032" s="146" t="s">
        <v>3133</v>
      </c>
    </row>
    <row r="1033" spans="1:2" ht="30" x14ac:dyDescent="0.25">
      <c r="A1033" s="125">
        <v>42063</v>
      </c>
      <c r="B1033" s="146" t="s">
        <v>3134</v>
      </c>
    </row>
    <row r="1034" spans="1:2" x14ac:dyDescent="0.25">
      <c r="A1034" s="125">
        <v>42064</v>
      </c>
      <c r="B1034" s="146" t="s">
        <v>3135</v>
      </c>
    </row>
    <row r="1035" spans="1:2" x14ac:dyDescent="0.25">
      <c r="A1035" s="125">
        <v>42065</v>
      </c>
      <c r="B1035" s="146" t="s">
        <v>3136</v>
      </c>
    </row>
    <row r="1036" spans="1:2" x14ac:dyDescent="0.25">
      <c r="A1036" s="125">
        <v>42066</v>
      </c>
      <c r="B1036" s="146" t="s">
        <v>3137</v>
      </c>
    </row>
    <row r="1037" spans="1:2" x14ac:dyDescent="0.25">
      <c r="A1037" s="125">
        <v>42067</v>
      </c>
      <c r="B1037" s="146" t="s">
        <v>3138</v>
      </c>
    </row>
    <row r="1038" spans="1:2" x14ac:dyDescent="0.25">
      <c r="A1038" s="125">
        <v>42068</v>
      </c>
      <c r="B1038" s="146" t="s">
        <v>3139</v>
      </c>
    </row>
    <row r="1039" spans="1:2" x14ac:dyDescent="0.25">
      <c r="A1039" s="125">
        <v>42069</v>
      </c>
      <c r="B1039" s="146" t="s">
        <v>3140</v>
      </c>
    </row>
    <row r="1040" spans="1:2" x14ac:dyDescent="0.25">
      <c r="A1040" s="125">
        <v>42070</v>
      </c>
      <c r="B1040" s="146" t="s">
        <v>3141</v>
      </c>
    </row>
    <row r="1041" spans="1:2" ht="30" x14ac:dyDescent="0.25">
      <c r="A1041" s="125">
        <v>42071</v>
      </c>
      <c r="B1041" s="146" t="s">
        <v>3142</v>
      </c>
    </row>
    <row r="1042" spans="1:2" ht="30" x14ac:dyDescent="0.25">
      <c r="A1042" s="125">
        <v>42072</v>
      </c>
      <c r="B1042" s="146" t="s">
        <v>3143</v>
      </c>
    </row>
    <row r="1043" spans="1:2" ht="30" x14ac:dyDescent="0.25">
      <c r="A1043" s="125">
        <v>42073</v>
      </c>
      <c r="B1043" s="146" t="s">
        <v>3144</v>
      </c>
    </row>
    <row r="1044" spans="1:2" ht="30" x14ac:dyDescent="0.25">
      <c r="A1044" s="125">
        <v>42074</v>
      </c>
      <c r="B1044" s="146" t="s">
        <v>3145</v>
      </c>
    </row>
    <row r="1045" spans="1:2" ht="30" x14ac:dyDescent="0.25">
      <c r="A1045" s="125">
        <v>42075</v>
      </c>
      <c r="B1045" s="146" t="s">
        <v>3146</v>
      </c>
    </row>
    <row r="1046" spans="1:2" ht="45" x14ac:dyDescent="0.25">
      <c r="A1046" s="125">
        <v>42076</v>
      </c>
      <c r="B1046" s="146" t="s">
        <v>3147</v>
      </c>
    </row>
    <row r="1047" spans="1:2" x14ac:dyDescent="0.25">
      <c r="A1047" s="125">
        <v>42077</v>
      </c>
      <c r="B1047" s="146" t="s">
        <v>3148</v>
      </c>
    </row>
    <row r="1048" spans="1:2" ht="30" x14ac:dyDescent="0.25">
      <c r="A1048" s="125">
        <v>42078</v>
      </c>
      <c r="B1048" s="146" t="s">
        <v>3149</v>
      </c>
    </row>
    <row r="1049" spans="1:2" ht="30" x14ac:dyDescent="0.25">
      <c r="A1049" s="125">
        <v>42079</v>
      </c>
      <c r="B1049" s="146" t="s">
        <v>3150</v>
      </c>
    </row>
    <row r="1050" spans="1:2" ht="30" x14ac:dyDescent="0.25">
      <c r="A1050" s="125">
        <v>42080</v>
      </c>
      <c r="B1050" s="146" t="s">
        <v>3151</v>
      </c>
    </row>
    <row r="1051" spans="1:2" ht="30" x14ac:dyDescent="0.25">
      <c r="A1051" s="125">
        <v>42081</v>
      </c>
      <c r="B1051" s="146" t="s">
        <v>3152</v>
      </c>
    </row>
    <row r="1052" spans="1:2" x14ac:dyDescent="0.25">
      <c r="A1052" s="125">
        <v>42082</v>
      </c>
      <c r="B1052" s="146" t="s">
        <v>3153</v>
      </c>
    </row>
    <row r="1053" spans="1:2" x14ac:dyDescent="0.25">
      <c r="A1053" s="125">
        <v>42083</v>
      </c>
      <c r="B1053" s="146" t="s">
        <v>3154</v>
      </c>
    </row>
    <row r="1054" spans="1:2" x14ac:dyDescent="0.25">
      <c r="A1054" s="125">
        <v>42084</v>
      </c>
      <c r="B1054" s="146" t="s">
        <v>3155</v>
      </c>
    </row>
    <row r="1055" spans="1:2" x14ac:dyDescent="0.25">
      <c r="A1055" s="125">
        <v>42085</v>
      </c>
      <c r="B1055" s="146" t="s">
        <v>3156</v>
      </c>
    </row>
    <row r="1056" spans="1:2" ht="30" x14ac:dyDescent="0.25">
      <c r="A1056" s="125">
        <v>42086</v>
      </c>
      <c r="B1056" s="146" t="s">
        <v>3157</v>
      </c>
    </row>
    <row r="1057" spans="1:2" x14ac:dyDescent="0.25">
      <c r="A1057" s="125">
        <v>42087</v>
      </c>
      <c r="B1057" s="159" t="s">
        <v>3649</v>
      </c>
    </row>
    <row r="1058" spans="1:2" ht="30" x14ac:dyDescent="0.25">
      <c r="A1058" s="125">
        <v>42088</v>
      </c>
      <c r="B1058" s="146" t="s">
        <v>3650</v>
      </c>
    </row>
    <row r="1059" spans="1:2" x14ac:dyDescent="0.25">
      <c r="A1059" s="125">
        <v>42089</v>
      </c>
      <c r="B1059" s="146" t="s">
        <v>3651</v>
      </c>
    </row>
    <row r="1060" spans="1:2" ht="30" x14ac:dyDescent="0.25">
      <c r="A1060" s="125">
        <v>42090</v>
      </c>
      <c r="B1060" s="146" t="s">
        <v>3888</v>
      </c>
    </row>
    <row r="1061" spans="1:2" x14ac:dyDescent="0.25">
      <c r="A1061" s="125">
        <v>42100</v>
      </c>
      <c r="B1061" s="126" t="s">
        <v>3158</v>
      </c>
    </row>
    <row r="1062" spans="1:2" x14ac:dyDescent="0.25">
      <c r="A1062" s="125">
        <v>42545</v>
      </c>
      <c r="B1062" s="126" t="s">
        <v>3159</v>
      </c>
    </row>
    <row r="1063" spans="1:2" x14ac:dyDescent="0.25">
      <c r="A1063" s="125">
        <v>42546</v>
      </c>
      <c r="B1063" s="126" t="s">
        <v>3160</v>
      </c>
    </row>
    <row r="1064" spans="1:2" x14ac:dyDescent="0.25">
      <c r="A1064" s="125">
        <v>42547</v>
      </c>
      <c r="B1064" s="128" t="s">
        <v>3161</v>
      </c>
    </row>
    <row r="1065" spans="1:2" x14ac:dyDescent="0.25">
      <c r="A1065" s="136">
        <v>42551</v>
      </c>
      <c r="B1065" s="123" t="s">
        <v>3162</v>
      </c>
    </row>
    <row r="1066" spans="1:2" x14ac:dyDescent="0.25">
      <c r="A1066" s="125">
        <v>42552</v>
      </c>
      <c r="B1066" s="126" t="s">
        <v>3163</v>
      </c>
    </row>
    <row r="1067" spans="1:2" x14ac:dyDescent="0.25">
      <c r="A1067" s="125">
        <v>42553</v>
      </c>
      <c r="B1067" s="128" t="s">
        <v>3164</v>
      </c>
    </row>
    <row r="1068" spans="1:2" x14ac:dyDescent="0.25">
      <c r="A1068" s="125">
        <v>42558</v>
      </c>
      <c r="B1068" s="126" t="s">
        <v>3165</v>
      </c>
    </row>
    <row r="1069" spans="1:2" x14ac:dyDescent="0.25">
      <c r="A1069" s="125">
        <v>42595</v>
      </c>
      <c r="B1069" s="126" t="s">
        <v>3166</v>
      </c>
    </row>
    <row r="1070" spans="1:2" x14ac:dyDescent="0.25">
      <c r="A1070" s="125">
        <v>42596</v>
      </c>
      <c r="B1070" s="126" t="s">
        <v>3167</v>
      </c>
    </row>
    <row r="1071" spans="1:2" x14ac:dyDescent="0.25">
      <c r="A1071" s="125">
        <v>42597</v>
      </c>
      <c r="B1071" s="126" t="s">
        <v>3168</v>
      </c>
    </row>
    <row r="1072" spans="1:2" x14ac:dyDescent="0.25">
      <c r="A1072" s="125">
        <v>42598</v>
      </c>
      <c r="B1072" s="126" t="s">
        <v>3169</v>
      </c>
    </row>
    <row r="1073" spans="1:2" x14ac:dyDescent="0.25">
      <c r="A1073" s="125">
        <v>42605</v>
      </c>
      <c r="B1073" s="126" t="s">
        <v>3170</v>
      </c>
    </row>
    <row r="1074" spans="1:2" ht="30" x14ac:dyDescent="0.25">
      <c r="A1074" s="125">
        <v>42606</v>
      </c>
      <c r="B1074" s="147" t="s">
        <v>3171</v>
      </c>
    </row>
    <row r="1075" spans="1:2" x14ac:dyDescent="0.25">
      <c r="A1075" s="125">
        <v>42607</v>
      </c>
      <c r="B1075" s="148" t="s">
        <v>3172</v>
      </c>
    </row>
    <row r="1076" spans="1:2" ht="30" x14ac:dyDescent="0.25">
      <c r="A1076" s="125">
        <v>42655</v>
      </c>
      <c r="B1076" s="126" t="s">
        <v>3173</v>
      </c>
    </row>
    <row r="1077" spans="1:2" x14ac:dyDescent="0.25">
      <c r="A1077" s="125">
        <v>42807</v>
      </c>
      <c r="B1077" s="126" t="s">
        <v>3174</v>
      </c>
    </row>
    <row r="1078" spans="1:2" x14ac:dyDescent="0.25">
      <c r="A1078" s="125">
        <v>42808</v>
      </c>
      <c r="B1078" s="126" t="s">
        <v>3175</v>
      </c>
    </row>
    <row r="1079" spans="1:2" x14ac:dyDescent="0.25">
      <c r="A1079" s="125">
        <v>42809</v>
      </c>
      <c r="B1079" s="149" t="s">
        <v>3176</v>
      </c>
    </row>
    <row r="1080" spans="1:2" x14ac:dyDescent="0.25">
      <c r="A1080" s="125">
        <v>42810</v>
      </c>
      <c r="B1080" s="126" t="s">
        <v>3177</v>
      </c>
    </row>
    <row r="1081" spans="1:2" x14ac:dyDescent="0.25">
      <c r="A1081" s="125">
        <v>42811</v>
      </c>
      <c r="B1081" s="126" t="s">
        <v>3178</v>
      </c>
    </row>
    <row r="1082" spans="1:2" x14ac:dyDescent="0.25">
      <c r="A1082" s="125">
        <v>42812</v>
      </c>
      <c r="B1082" s="126" t="s">
        <v>3179</v>
      </c>
    </row>
    <row r="1083" spans="1:2" x14ac:dyDescent="0.25">
      <c r="A1083" s="125">
        <v>42813</v>
      </c>
      <c r="B1083" s="126" t="s">
        <v>3180</v>
      </c>
    </row>
    <row r="1084" spans="1:2" x14ac:dyDescent="0.25">
      <c r="A1084" s="125">
        <v>42814</v>
      </c>
      <c r="B1084" s="126" t="s">
        <v>3181</v>
      </c>
    </row>
    <row r="1085" spans="1:2" x14ac:dyDescent="0.25">
      <c r="A1085" s="125">
        <v>42815</v>
      </c>
      <c r="B1085" s="126" t="s">
        <v>3182</v>
      </c>
    </row>
    <row r="1086" spans="1:2" x14ac:dyDescent="0.25">
      <c r="A1086" s="125">
        <v>42816</v>
      </c>
      <c r="B1086" s="128" t="s">
        <v>3183</v>
      </c>
    </row>
    <row r="1087" spans="1:2" x14ac:dyDescent="0.25">
      <c r="A1087" s="125">
        <v>42817</v>
      </c>
      <c r="B1087" s="126" t="s">
        <v>3184</v>
      </c>
    </row>
    <row r="1088" spans="1:2" x14ac:dyDescent="0.25">
      <c r="A1088" s="125">
        <v>42818</v>
      </c>
      <c r="B1088" s="126" t="s">
        <v>3185</v>
      </c>
    </row>
    <row r="1089" spans="1:2" x14ac:dyDescent="0.25">
      <c r="A1089" s="125">
        <v>42819</v>
      </c>
      <c r="B1089" s="126" t="s">
        <v>3186</v>
      </c>
    </row>
    <row r="1090" spans="1:2" x14ac:dyDescent="0.25">
      <c r="A1090" s="125">
        <v>42820</v>
      </c>
      <c r="B1090" s="126" t="s">
        <v>3187</v>
      </c>
    </row>
    <row r="1091" spans="1:2" x14ac:dyDescent="0.25">
      <c r="A1091" s="125">
        <v>42821</v>
      </c>
      <c r="B1091" s="126" t="s">
        <v>3188</v>
      </c>
    </row>
    <row r="1092" spans="1:2" x14ac:dyDescent="0.25">
      <c r="A1092" s="125">
        <v>42822</v>
      </c>
      <c r="B1092" s="126" t="s">
        <v>3189</v>
      </c>
    </row>
    <row r="1093" spans="1:2" x14ac:dyDescent="0.25">
      <c r="A1093" s="125">
        <v>42823</v>
      </c>
      <c r="B1093" s="126" t="s">
        <v>3190</v>
      </c>
    </row>
    <row r="1094" spans="1:2" x14ac:dyDescent="0.25">
      <c r="A1094" s="125">
        <v>42824</v>
      </c>
      <c r="B1094" s="126" t="s">
        <v>3191</v>
      </c>
    </row>
    <row r="1095" spans="1:2" x14ac:dyDescent="0.25">
      <c r="A1095" s="125">
        <v>42825</v>
      </c>
      <c r="B1095" s="126" t="s">
        <v>3192</v>
      </c>
    </row>
    <row r="1096" spans="1:2" x14ac:dyDescent="0.25">
      <c r="A1096" s="125">
        <v>42826</v>
      </c>
      <c r="B1096" s="126" t="s">
        <v>3193</v>
      </c>
    </row>
    <row r="1097" spans="1:2" ht="30" x14ac:dyDescent="0.25">
      <c r="A1097" s="125">
        <v>42827</v>
      </c>
      <c r="B1097" s="126" t="s">
        <v>3194</v>
      </c>
    </row>
    <row r="1098" spans="1:2" x14ac:dyDescent="0.25">
      <c r="A1098" s="125">
        <v>42919</v>
      </c>
      <c r="B1098" s="128" t="s">
        <v>3652</v>
      </c>
    </row>
    <row r="1099" spans="1:2" x14ac:dyDescent="0.25">
      <c r="A1099" s="125">
        <v>42920</v>
      </c>
      <c r="B1099" s="126" t="s">
        <v>3195</v>
      </c>
    </row>
    <row r="1100" spans="1:2" x14ac:dyDescent="0.25">
      <c r="A1100" s="125">
        <v>42921</v>
      </c>
      <c r="B1100" s="126" t="s">
        <v>3196</v>
      </c>
    </row>
    <row r="1101" spans="1:2" x14ac:dyDescent="0.25">
      <c r="A1101" s="125">
        <v>42922</v>
      </c>
      <c r="B1101" s="126" t="s">
        <v>3197</v>
      </c>
    </row>
    <row r="1102" spans="1:2" x14ac:dyDescent="0.25">
      <c r="A1102" s="125">
        <v>42923</v>
      </c>
      <c r="B1102" s="126" t="s">
        <v>3198</v>
      </c>
    </row>
    <row r="1103" spans="1:2" x14ac:dyDescent="0.25">
      <c r="A1103" s="125">
        <v>42924</v>
      </c>
      <c r="B1103" s="126" t="s">
        <v>3199</v>
      </c>
    </row>
    <row r="1104" spans="1:2" x14ac:dyDescent="0.25">
      <c r="A1104" s="125">
        <v>42925</v>
      </c>
      <c r="B1104" s="126" t="s">
        <v>3200</v>
      </c>
    </row>
    <row r="1105" spans="1:2" ht="45" x14ac:dyDescent="0.25">
      <c r="A1105" s="125">
        <v>42926</v>
      </c>
      <c r="B1105" s="126" t="s">
        <v>3201</v>
      </c>
    </row>
    <row r="1106" spans="1:2" x14ac:dyDescent="0.25">
      <c r="A1106" s="125">
        <v>42927</v>
      </c>
      <c r="B1106" s="126" t="s">
        <v>3202</v>
      </c>
    </row>
    <row r="1107" spans="1:2" x14ac:dyDescent="0.25">
      <c r="A1107" s="125">
        <v>42928</v>
      </c>
      <c r="B1107" s="126" t="s">
        <v>3203</v>
      </c>
    </row>
    <row r="1108" spans="1:2" x14ac:dyDescent="0.25">
      <c r="A1108" s="125">
        <v>42929</v>
      </c>
      <c r="B1108" s="126" t="s">
        <v>3204</v>
      </c>
    </row>
    <row r="1109" spans="1:2" x14ac:dyDescent="0.25">
      <c r="A1109" s="125">
        <v>42930</v>
      </c>
      <c r="B1109" s="126" t="s">
        <v>3205</v>
      </c>
    </row>
    <row r="1110" spans="1:2" x14ac:dyDescent="0.25">
      <c r="A1110" s="125">
        <v>42931</v>
      </c>
      <c r="B1110" s="126" t="s">
        <v>3206</v>
      </c>
    </row>
    <row r="1111" spans="1:2" x14ac:dyDescent="0.25">
      <c r="A1111" s="125">
        <v>42934</v>
      </c>
      <c r="B1111" s="126" t="s">
        <v>3207</v>
      </c>
    </row>
    <row r="1112" spans="1:2" x14ac:dyDescent="0.25">
      <c r="A1112" s="125">
        <v>42935</v>
      </c>
      <c r="B1112" s="126" t="s">
        <v>3208</v>
      </c>
    </row>
    <row r="1113" spans="1:2" x14ac:dyDescent="0.25">
      <c r="A1113" s="125">
        <v>42936</v>
      </c>
      <c r="B1113" s="126" t="s">
        <v>3209</v>
      </c>
    </row>
    <row r="1114" spans="1:2" x14ac:dyDescent="0.25">
      <c r="A1114" s="125">
        <v>42937</v>
      </c>
      <c r="B1114" s="126" t="s">
        <v>3210</v>
      </c>
    </row>
    <row r="1115" spans="1:2" x14ac:dyDescent="0.25">
      <c r="A1115" s="125">
        <v>42938</v>
      </c>
      <c r="B1115" s="126" t="s">
        <v>3211</v>
      </c>
    </row>
    <row r="1116" spans="1:2" x14ac:dyDescent="0.25">
      <c r="A1116" s="125">
        <v>42939</v>
      </c>
      <c r="B1116" s="126" t="s">
        <v>3212</v>
      </c>
    </row>
    <row r="1117" spans="1:2" x14ac:dyDescent="0.25">
      <c r="A1117" s="125">
        <v>42940</v>
      </c>
      <c r="B1117" s="126" t="s">
        <v>3213</v>
      </c>
    </row>
    <row r="1118" spans="1:2" x14ac:dyDescent="0.25">
      <c r="A1118" s="125">
        <v>42941</v>
      </c>
      <c r="B1118" s="126" t="s">
        <v>3214</v>
      </c>
    </row>
    <row r="1119" spans="1:2" x14ac:dyDescent="0.25">
      <c r="A1119" s="125">
        <v>42942</v>
      </c>
      <c r="B1119" s="126" t="s">
        <v>3215</v>
      </c>
    </row>
    <row r="1120" spans="1:2" x14ac:dyDescent="0.25">
      <c r="A1120" s="125">
        <v>42943</v>
      </c>
      <c r="B1120" s="149" t="s">
        <v>3216</v>
      </c>
    </row>
    <row r="1121" spans="1:2" x14ac:dyDescent="0.25">
      <c r="A1121" s="125">
        <v>42944</v>
      </c>
      <c r="B1121" s="149" t="s">
        <v>3217</v>
      </c>
    </row>
    <row r="1122" spans="1:2" x14ac:dyDescent="0.25">
      <c r="A1122" s="125">
        <v>43001</v>
      </c>
      <c r="B1122" s="126" t="s">
        <v>3218</v>
      </c>
    </row>
    <row r="1123" spans="1:2" x14ac:dyDescent="0.25">
      <c r="A1123" s="125">
        <v>43002</v>
      </c>
      <c r="B1123" s="126" t="s">
        <v>3219</v>
      </c>
    </row>
    <row r="1124" spans="1:2" ht="60" x14ac:dyDescent="0.25">
      <c r="A1124" s="125">
        <v>43003</v>
      </c>
      <c r="B1124" s="128" t="s">
        <v>3220</v>
      </c>
    </row>
    <row r="1125" spans="1:2" x14ac:dyDescent="0.25">
      <c r="A1125" s="125">
        <v>43004</v>
      </c>
      <c r="B1125" s="126" t="s">
        <v>3221</v>
      </c>
    </row>
    <row r="1126" spans="1:2" x14ac:dyDescent="0.25">
      <c r="A1126" s="125">
        <v>43005</v>
      </c>
      <c r="B1126" s="126" t="s">
        <v>3222</v>
      </c>
    </row>
    <row r="1127" spans="1:2" ht="30" x14ac:dyDescent="0.25">
      <c r="A1127" s="125">
        <v>43006</v>
      </c>
      <c r="B1127" s="126" t="s">
        <v>3223</v>
      </c>
    </row>
    <row r="1128" spans="1:2" x14ac:dyDescent="0.25">
      <c r="A1128" s="125">
        <v>43007</v>
      </c>
      <c r="B1128" s="126" t="s">
        <v>3224</v>
      </c>
    </row>
    <row r="1129" spans="1:2" x14ac:dyDescent="0.25">
      <c r="A1129" s="125">
        <v>43008</v>
      </c>
      <c r="B1129" s="126" t="s">
        <v>3225</v>
      </c>
    </row>
    <row r="1130" spans="1:2" x14ac:dyDescent="0.25">
      <c r="A1130" s="125">
        <v>43009</v>
      </c>
      <c r="B1130" s="126" t="s">
        <v>3226</v>
      </c>
    </row>
    <row r="1131" spans="1:2" x14ac:dyDescent="0.25">
      <c r="A1131" s="125">
        <v>43010</v>
      </c>
      <c r="B1131" s="128" t="s">
        <v>3227</v>
      </c>
    </row>
    <row r="1132" spans="1:2" x14ac:dyDescent="0.25">
      <c r="A1132" s="125">
        <v>43011</v>
      </c>
      <c r="B1132" s="126" t="s">
        <v>3228</v>
      </c>
    </row>
    <row r="1133" spans="1:2" x14ac:dyDescent="0.25">
      <c r="A1133" s="125">
        <v>43012</v>
      </c>
      <c r="B1133" s="126" t="s">
        <v>3229</v>
      </c>
    </row>
    <row r="1134" spans="1:2" x14ac:dyDescent="0.25">
      <c r="A1134" s="125">
        <v>43013</v>
      </c>
      <c r="B1134" s="126" t="s">
        <v>3230</v>
      </c>
    </row>
    <row r="1135" spans="1:2" x14ac:dyDescent="0.25">
      <c r="A1135" s="125">
        <v>43014</v>
      </c>
      <c r="B1135" s="126" t="s">
        <v>3231</v>
      </c>
    </row>
    <row r="1136" spans="1:2" x14ac:dyDescent="0.25">
      <c r="A1136" s="125">
        <v>43015</v>
      </c>
      <c r="B1136" s="126" t="s">
        <v>3232</v>
      </c>
    </row>
    <row r="1137" spans="1:2" x14ac:dyDescent="0.25">
      <c r="A1137" s="125">
        <v>43016</v>
      </c>
      <c r="B1137" s="126" t="s">
        <v>3233</v>
      </c>
    </row>
    <row r="1138" spans="1:2" x14ac:dyDescent="0.25">
      <c r="A1138" s="125">
        <v>43017</v>
      </c>
      <c r="B1138" s="126" t="s">
        <v>3234</v>
      </c>
    </row>
    <row r="1139" spans="1:2" x14ac:dyDescent="0.25">
      <c r="A1139" s="125">
        <v>43018</v>
      </c>
      <c r="B1139" s="126" t="s">
        <v>3235</v>
      </c>
    </row>
    <row r="1140" spans="1:2" x14ac:dyDescent="0.25">
      <c r="A1140" s="125">
        <v>43019</v>
      </c>
      <c r="B1140" s="126" t="s">
        <v>3236</v>
      </c>
    </row>
    <row r="1141" spans="1:2" x14ac:dyDescent="0.25">
      <c r="A1141" s="125">
        <v>43020</v>
      </c>
      <c r="B1141" s="126" t="s">
        <v>3237</v>
      </c>
    </row>
    <row r="1142" spans="1:2" x14ac:dyDescent="0.25">
      <c r="A1142" s="125">
        <v>43021</v>
      </c>
      <c r="B1142" s="126" t="s">
        <v>3238</v>
      </c>
    </row>
    <row r="1143" spans="1:2" x14ac:dyDescent="0.25">
      <c r="A1143" s="125">
        <v>43022</v>
      </c>
      <c r="B1143" s="142" t="s">
        <v>3239</v>
      </c>
    </row>
    <row r="1144" spans="1:2" ht="31.15" customHeight="1" x14ac:dyDescent="0.25">
      <c r="A1144" s="125">
        <v>43023</v>
      </c>
      <c r="B1144" s="126" t="s">
        <v>3240</v>
      </c>
    </row>
    <row r="1145" spans="1:2" x14ac:dyDescent="0.25">
      <c r="A1145" s="125">
        <v>43024</v>
      </c>
      <c r="B1145" s="126" t="s">
        <v>3241</v>
      </c>
    </row>
    <row r="1146" spans="1:2" x14ac:dyDescent="0.25">
      <c r="A1146" s="125">
        <v>43025</v>
      </c>
      <c r="B1146" s="126" t="s">
        <v>3242</v>
      </c>
    </row>
    <row r="1147" spans="1:2" x14ac:dyDescent="0.25">
      <c r="A1147" s="125">
        <v>43026</v>
      </c>
      <c r="B1147" s="126" t="s">
        <v>3243</v>
      </c>
    </row>
    <row r="1148" spans="1:2" x14ac:dyDescent="0.25">
      <c r="A1148" s="125">
        <v>43027</v>
      </c>
      <c r="B1148" s="126" t="s">
        <v>3244</v>
      </c>
    </row>
    <row r="1149" spans="1:2" x14ac:dyDescent="0.25">
      <c r="A1149" s="125">
        <v>43028</v>
      </c>
      <c r="B1149" s="126" t="s">
        <v>3245</v>
      </c>
    </row>
    <row r="1150" spans="1:2" ht="30" x14ac:dyDescent="0.25">
      <c r="A1150" s="150">
        <v>43029</v>
      </c>
      <c r="B1150" s="151" t="s">
        <v>613</v>
      </c>
    </row>
    <row r="1151" spans="1:2" x14ac:dyDescent="0.25">
      <c r="A1151" s="125">
        <v>43030</v>
      </c>
      <c r="B1151" s="126" t="s">
        <v>3246</v>
      </c>
    </row>
    <row r="1152" spans="1:2" x14ac:dyDescent="0.25">
      <c r="A1152" s="125">
        <v>43031</v>
      </c>
      <c r="B1152" s="126" t="s">
        <v>3247</v>
      </c>
    </row>
    <row r="1153" spans="1:2" x14ac:dyDescent="0.25">
      <c r="A1153" s="125">
        <v>43032</v>
      </c>
      <c r="B1153" s="126" t="s">
        <v>3248</v>
      </c>
    </row>
    <row r="1154" spans="1:2" x14ac:dyDescent="0.25">
      <c r="A1154" s="125">
        <v>43033</v>
      </c>
      <c r="B1154" s="126" t="s">
        <v>3249</v>
      </c>
    </row>
    <row r="1155" spans="1:2" ht="30" x14ac:dyDescent="0.25">
      <c r="A1155" s="125">
        <v>43034</v>
      </c>
      <c r="B1155" s="126" t="s">
        <v>3250</v>
      </c>
    </row>
    <row r="1156" spans="1:2" x14ac:dyDescent="0.25">
      <c r="A1156" s="125">
        <v>43035</v>
      </c>
      <c r="B1156" s="126" t="s">
        <v>3251</v>
      </c>
    </row>
    <row r="1157" spans="1:2" x14ac:dyDescent="0.25">
      <c r="A1157" s="125">
        <v>43036</v>
      </c>
      <c r="B1157" s="126" t="s">
        <v>3252</v>
      </c>
    </row>
    <row r="1158" spans="1:2" x14ac:dyDescent="0.25">
      <c r="A1158" s="125">
        <v>43037</v>
      </c>
      <c r="B1158" s="126" t="s">
        <v>3253</v>
      </c>
    </row>
    <row r="1159" spans="1:2" ht="45" x14ac:dyDescent="0.25">
      <c r="A1159" s="125">
        <v>43038</v>
      </c>
      <c r="B1159" s="126" t="s">
        <v>3254</v>
      </c>
    </row>
    <row r="1160" spans="1:2" x14ac:dyDescent="0.25">
      <c r="A1160" s="125">
        <v>43039</v>
      </c>
      <c r="B1160" s="126" t="s">
        <v>3255</v>
      </c>
    </row>
    <row r="1161" spans="1:2" ht="30" x14ac:dyDescent="0.25">
      <c r="A1161" s="125">
        <v>43040</v>
      </c>
      <c r="B1161" s="126" t="s">
        <v>3256</v>
      </c>
    </row>
    <row r="1162" spans="1:2" ht="30" x14ac:dyDescent="0.25">
      <c r="A1162" s="125">
        <v>43041</v>
      </c>
      <c r="B1162" s="128" t="s">
        <v>3257</v>
      </c>
    </row>
    <row r="1163" spans="1:2" x14ac:dyDescent="0.25">
      <c r="A1163" s="125">
        <v>43042</v>
      </c>
      <c r="B1163" s="128" t="s">
        <v>3258</v>
      </c>
    </row>
    <row r="1164" spans="1:2" x14ac:dyDescent="0.25">
      <c r="A1164" s="125">
        <v>43044</v>
      </c>
      <c r="B1164" s="128" t="s">
        <v>3259</v>
      </c>
    </row>
    <row r="1165" spans="1:2" ht="45" x14ac:dyDescent="0.25">
      <c r="A1165" s="125">
        <v>43045</v>
      </c>
      <c r="B1165" s="128" t="s">
        <v>3260</v>
      </c>
    </row>
    <row r="1166" spans="1:2" ht="30" x14ac:dyDescent="0.25">
      <c r="A1166" s="125">
        <v>43046</v>
      </c>
      <c r="B1166" s="128" t="s">
        <v>3261</v>
      </c>
    </row>
    <row r="1167" spans="1:2" ht="30" x14ac:dyDescent="0.25">
      <c r="A1167" s="125">
        <v>43047</v>
      </c>
      <c r="B1167" s="128" t="s">
        <v>3262</v>
      </c>
    </row>
    <row r="1168" spans="1:2" ht="30" x14ac:dyDescent="0.25">
      <c r="A1168" s="125">
        <v>43048</v>
      </c>
      <c r="B1168" s="128" t="s">
        <v>3263</v>
      </c>
    </row>
    <row r="1169" spans="1:2" ht="30" x14ac:dyDescent="0.25">
      <c r="A1169" s="125">
        <v>43049</v>
      </c>
      <c r="B1169" s="152" t="s">
        <v>3264</v>
      </c>
    </row>
    <row r="1170" spans="1:2" ht="30" x14ac:dyDescent="0.25">
      <c r="A1170" s="125">
        <v>43050</v>
      </c>
      <c r="B1170" s="152" t="s">
        <v>3265</v>
      </c>
    </row>
    <row r="1171" spans="1:2" ht="60" x14ac:dyDescent="0.25">
      <c r="A1171" s="125">
        <v>43051</v>
      </c>
      <c r="B1171" s="152" t="s">
        <v>3653</v>
      </c>
    </row>
    <row r="1172" spans="1:2" x14ac:dyDescent="0.25">
      <c r="A1172" s="125">
        <v>43052</v>
      </c>
      <c r="B1172" s="152" t="s">
        <v>3654</v>
      </c>
    </row>
    <row r="1173" spans="1:2" ht="45" x14ac:dyDescent="0.25">
      <c r="A1173" s="125">
        <v>43053</v>
      </c>
      <c r="B1173" s="152" t="s">
        <v>3655</v>
      </c>
    </row>
    <row r="1174" spans="1:2" x14ac:dyDescent="0.25">
      <c r="A1174" s="125">
        <v>43521</v>
      </c>
      <c r="B1174" s="126" t="s">
        <v>3266</v>
      </c>
    </row>
    <row r="1175" spans="1:2" x14ac:dyDescent="0.25">
      <c r="A1175" s="125">
        <v>43522</v>
      </c>
      <c r="B1175" s="126" t="s">
        <v>3267</v>
      </c>
    </row>
    <row r="1176" spans="1:2" x14ac:dyDescent="0.25">
      <c r="A1176" s="125">
        <v>43524</v>
      </c>
      <c r="B1176" s="126" t="s">
        <v>3268</v>
      </c>
    </row>
    <row r="1177" spans="1:2" x14ac:dyDescent="0.25">
      <c r="A1177" s="125">
        <v>43525</v>
      </c>
      <c r="B1177" s="126" t="s">
        <v>3269</v>
      </c>
    </row>
    <row r="1178" spans="1:2" x14ac:dyDescent="0.25">
      <c r="A1178" s="125">
        <v>43526</v>
      </c>
      <c r="B1178" s="126" t="s">
        <v>3270</v>
      </c>
    </row>
    <row r="1179" spans="1:2" x14ac:dyDescent="0.25">
      <c r="A1179" s="125">
        <v>43527</v>
      </c>
      <c r="B1179" s="126" t="s">
        <v>3271</v>
      </c>
    </row>
    <row r="1180" spans="1:2" x14ac:dyDescent="0.25">
      <c r="A1180" s="125">
        <v>43528</v>
      </c>
      <c r="B1180" s="126" t="s">
        <v>3272</v>
      </c>
    </row>
    <row r="1181" spans="1:2" x14ac:dyDescent="0.25">
      <c r="A1181" s="125">
        <v>43561</v>
      </c>
      <c r="B1181" s="153" t="s">
        <v>3273</v>
      </c>
    </row>
    <row r="1182" spans="1:2" x14ac:dyDescent="0.25">
      <c r="A1182" s="125">
        <v>43562</v>
      </c>
      <c r="B1182" s="128" t="s">
        <v>3274</v>
      </c>
    </row>
    <row r="1183" spans="1:2" x14ac:dyDescent="0.25">
      <c r="A1183" s="125">
        <v>43563</v>
      </c>
      <c r="B1183" s="126" t="s">
        <v>3275</v>
      </c>
    </row>
    <row r="1184" spans="1:2" x14ac:dyDescent="0.25">
      <c r="A1184" s="125">
        <v>43564</v>
      </c>
      <c r="B1184" s="126" t="s">
        <v>3276</v>
      </c>
    </row>
    <row r="1185" spans="1:2" x14ac:dyDescent="0.25">
      <c r="A1185" s="125">
        <v>43565</v>
      </c>
      <c r="B1185" s="126" t="s">
        <v>3277</v>
      </c>
    </row>
    <row r="1186" spans="1:2" x14ac:dyDescent="0.25">
      <c r="A1186" s="125">
        <v>43566</v>
      </c>
      <c r="B1186" s="126" t="s">
        <v>3278</v>
      </c>
    </row>
    <row r="1187" spans="1:2" x14ac:dyDescent="0.25">
      <c r="A1187" s="125">
        <v>43567</v>
      </c>
      <c r="B1187" s="126" t="s">
        <v>3279</v>
      </c>
    </row>
    <row r="1188" spans="1:2" x14ac:dyDescent="0.25">
      <c r="A1188" s="125">
        <v>43568</v>
      </c>
      <c r="B1188" s="126" t="s">
        <v>3280</v>
      </c>
    </row>
    <row r="1189" spans="1:2" x14ac:dyDescent="0.25">
      <c r="A1189" s="125">
        <v>43569</v>
      </c>
      <c r="B1189" s="126" t="s">
        <v>3281</v>
      </c>
    </row>
    <row r="1190" spans="1:2" x14ac:dyDescent="0.25">
      <c r="A1190" s="125">
        <v>43570</v>
      </c>
      <c r="B1190" s="126" t="s">
        <v>3282</v>
      </c>
    </row>
    <row r="1191" spans="1:2" x14ac:dyDescent="0.25">
      <c r="A1191" s="125">
        <v>43571</v>
      </c>
      <c r="B1191" s="126" t="s">
        <v>3283</v>
      </c>
    </row>
    <row r="1192" spans="1:2" x14ac:dyDescent="0.25">
      <c r="A1192" s="125">
        <v>43572</v>
      </c>
      <c r="B1192" s="126" t="s">
        <v>3284</v>
      </c>
    </row>
    <row r="1193" spans="1:2" x14ac:dyDescent="0.25">
      <c r="A1193" s="125">
        <v>43573</v>
      </c>
      <c r="B1193" s="126" t="s">
        <v>3285</v>
      </c>
    </row>
    <row r="1194" spans="1:2" x14ac:dyDescent="0.25">
      <c r="A1194" s="125">
        <v>43574</v>
      </c>
      <c r="B1194" s="126" t="s">
        <v>3286</v>
      </c>
    </row>
    <row r="1195" spans="1:2" x14ac:dyDescent="0.25">
      <c r="A1195" s="125">
        <v>43575</v>
      </c>
      <c r="B1195" s="126" t="s">
        <v>3287</v>
      </c>
    </row>
    <row r="1196" spans="1:2" x14ac:dyDescent="0.25">
      <c r="A1196" s="125">
        <v>43576</v>
      </c>
      <c r="B1196" s="126" t="s">
        <v>3288</v>
      </c>
    </row>
    <row r="1197" spans="1:2" x14ac:dyDescent="0.25">
      <c r="A1197" s="125">
        <v>43577</v>
      </c>
      <c r="B1197" s="126" t="s">
        <v>3289</v>
      </c>
    </row>
    <row r="1198" spans="1:2" x14ac:dyDescent="0.25">
      <c r="A1198" s="125">
        <v>43578</v>
      </c>
      <c r="B1198" s="126" t="s">
        <v>3290</v>
      </c>
    </row>
    <row r="1199" spans="1:2" x14ac:dyDescent="0.25">
      <c r="A1199" s="125">
        <v>43579</v>
      </c>
      <c r="B1199" s="126" t="s">
        <v>3291</v>
      </c>
    </row>
    <row r="1200" spans="1:2" x14ac:dyDescent="0.25">
      <c r="A1200" s="125">
        <v>43580</v>
      </c>
      <c r="B1200" s="126" t="s">
        <v>3292</v>
      </c>
    </row>
    <row r="1201" spans="1:2" x14ac:dyDescent="0.25">
      <c r="A1201" s="125">
        <v>43583</v>
      </c>
      <c r="B1201" s="126" t="s">
        <v>3293</v>
      </c>
    </row>
    <row r="1202" spans="1:2" x14ac:dyDescent="0.25">
      <c r="A1202" s="125">
        <v>43727</v>
      </c>
      <c r="B1202" s="126" t="s">
        <v>3294</v>
      </c>
    </row>
    <row r="1203" spans="1:2" x14ac:dyDescent="0.25">
      <c r="A1203" s="125">
        <v>43728</v>
      </c>
      <c r="B1203" s="126" t="s">
        <v>3295</v>
      </c>
    </row>
    <row r="1204" spans="1:2" ht="30" x14ac:dyDescent="0.25">
      <c r="A1204" s="125">
        <v>43729</v>
      </c>
      <c r="B1204" s="128" t="s">
        <v>3296</v>
      </c>
    </row>
    <row r="1205" spans="1:2" x14ac:dyDescent="0.25">
      <c r="A1205" s="125">
        <v>43766</v>
      </c>
      <c r="B1205" s="126" t="s">
        <v>3297</v>
      </c>
    </row>
    <row r="1206" spans="1:2" x14ac:dyDescent="0.25">
      <c r="A1206" s="125">
        <v>43767</v>
      </c>
      <c r="B1206" s="126" t="s">
        <v>3298</v>
      </c>
    </row>
    <row r="1207" spans="1:2" x14ac:dyDescent="0.25">
      <c r="A1207" s="125">
        <v>43782</v>
      </c>
      <c r="B1207" s="126" t="s">
        <v>3299</v>
      </c>
    </row>
    <row r="1208" spans="1:2" x14ac:dyDescent="0.25">
      <c r="A1208" s="125">
        <v>43785</v>
      </c>
      <c r="B1208" s="126" t="s">
        <v>3300</v>
      </c>
    </row>
    <row r="1209" spans="1:2" x14ac:dyDescent="0.25">
      <c r="A1209" s="125">
        <v>43786</v>
      </c>
      <c r="B1209" s="128" t="s">
        <v>3301</v>
      </c>
    </row>
    <row r="1210" spans="1:2" x14ac:dyDescent="0.25">
      <c r="A1210" s="125">
        <v>43914</v>
      </c>
      <c r="B1210" s="126" t="s">
        <v>3302</v>
      </c>
    </row>
    <row r="1211" spans="1:2" x14ac:dyDescent="0.25">
      <c r="A1211" s="125">
        <v>43915</v>
      </c>
      <c r="B1211" s="126" t="s">
        <v>3303</v>
      </c>
    </row>
    <row r="1212" spans="1:2" x14ac:dyDescent="0.25">
      <c r="A1212" s="125">
        <v>43927</v>
      </c>
      <c r="B1212" s="126" t="s">
        <v>3304</v>
      </c>
    </row>
    <row r="1213" spans="1:2" x14ac:dyDescent="0.25">
      <c r="A1213" s="125">
        <v>43928</v>
      </c>
      <c r="B1213" s="126" t="s">
        <v>3305</v>
      </c>
    </row>
    <row r="1214" spans="1:2" x14ac:dyDescent="0.25">
      <c r="A1214" s="125">
        <v>43929</v>
      </c>
      <c r="B1214" s="126" t="s">
        <v>3306</v>
      </c>
    </row>
    <row r="1215" spans="1:2" x14ac:dyDescent="0.25">
      <c r="A1215" s="125">
        <v>43930</v>
      </c>
      <c r="B1215" s="126" t="s">
        <v>3307</v>
      </c>
    </row>
    <row r="1216" spans="1:2" x14ac:dyDescent="0.25">
      <c r="A1216" s="125">
        <v>43931</v>
      </c>
      <c r="B1216" s="126" t="s">
        <v>3308</v>
      </c>
    </row>
    <row r="1217" spans="1:2" x14ac:dyDescent="0.25">
      <c r="A1217" s="127">
        <v>43932</v>
      </c>
      <c r="B1217" s="127" t="s">
        <v>3309</v>
      </c>
    </row>
    <row r="1218" spans="1:2" x14ac:dyDescent="0.25">
      <c r="A1218" s="127">
        <v>43933</v>
      </c>
      <c r="B1218" s="127" t="s">
        <v>3310</v>
      </c>
    </row>
    <row r="1219" spans="1:2" x14ac:dyDescent="0.25">
      <c r="A1219" s="127">
        <v>43934</v>
      </c>
      <c r="B1219" s="127" t="s">
        <v>3889</v>
      </c>
    </row>
    <row r="1220" spans="1:2" x14ac:dyDescent="0.25">
      <c r="A1220" s="127">
        <v>43935</v>
      </c>
      <c r="B1220" s="127" t="s">
        <v>426</v>
      </c>
    </row>
    <row r="1221" spans="1:2" x14ac:dyDescent="0.25">
      <c r="A1221" s="125">
        <v>44000</v>
      </c>
      <c r="B1221" s="126" t="s">
        <v>4499</v>
      </c>
    </row>
    <row r="1222" spans="1:2" x14ac:dyDescent="0.25">
      <c r="A1222" s="125">
        <v>44001</v>
      </c>
      <c r="B1222" s="126" t="s">
        <v>4500</v>
      </c>
    </row>
    <row r="1223" spans="1:2" x14ac:dyDescent="0.25">
      <c r="A1223" s="125">
        <v>44002</v>
      </c>
      <c r="B1223" s="126" t="s">
        <v>3311</v>
      </c>
    </row>
    <row r="1224" spans="1:2" ht="30" x14ac:dyDescent="0.25">
      <c r="A1224" s="125">
        <v>44003</v>
      </c>
      <c r="B1224" s="126" t="s">
        <v>3312</v>
      </c>
    </row>
    <row r="1225" spans="1:2" x14ac:dyDescent="0.25">
      <c r="A1225" s="125">
        <v>44004</v>
      </c>
      <c r="B1225" s="126" t="s">
        <v>3313</v>
      </c>
    </row>
    <row r="1226" spans="1:2" x14ac:dyDescent="0.25">
      <c r="A1226" s="125">
        <v>44005</v>
      </c>
      <c r="B1226" s="126" t="s">
        <v>3314</v>
      </c>
    </row>
    <row r="1227" spans="1:2" x14ac:dyDescent="0.25">
      <c r="A1227" s="125">
        <v>44006</v>
      </c>
      <c r="B1227" s="126" t="s">
        <v>3315</v>
      </c>
    </row>
    <row r="1228" spans="1:2" x14ac:dyDescent="0.25">
      <c r="A1228" s="125">
        <v>44007</v>
      </c>
      <c r="B1228" s="126" t="s">
        <v>3316</v>
      </c>
    </row>
    <row r="1229" spans="1:2" ht="30" x14ac:dyDescent="0.25">
      <c r="A1229" s="125">
        <v>44008</v>
      </c>
      <c r="B1229" s="126" t="s">
        <v>3317</v>
      </c>
    </row>
    <row r="1230" spans="1:2" x14ac:dyDescent="0.25">
      <c r="A1230" s="125">
        <v>44009</v>
      </c>
      <c r="B1230" s="126" t="s">
        <v>3318</v>
      </c>
    </row>
    <row r="1231" spans="1:2" ht="30" x14ac:dyDescent="0.25">
      <c r="A1231" s="125">
        <v>44010</v>
      </c>
      <c r="B1231" s="126" t="s">
        <v>3319</v>
      </c>
    </row>
    <row r="1232" spans="1:2" x14ac:dyDescent="0.25">
      <c r="A1232" s="125">
        <v>44011</v>
      </c>
      <c r="B1232" s="128" t="s">
        <v>3320</v>
      </c>
    </row>
    <row r="1233" spans="1:2" x14ac:dyDescent="0.25">
      <c r="A1233" s="125">
        <v>44012</v>
      </c>
      <c r="B1233" s="128" t="s">
        <v>3321</v>
      </c>
    </row>
    <row r="1234" spans="1:2" ht="30" x14ac:dyDescent="0.25">
      <c r="A1234" s="125">
        <v>44013</v>
      </c>
      <c r="B1234" s="128" t="s">
        <v>3322</v>
      </c>
    </row>
    <row r="1235" spans="1:2" ht="30" x14ac:dyDescent="0.25">
      <c r="A1235" s="125">
        <v>44014</v>
      </c>
      <c r="B1235" s="128" t="s">
        <v>3323</v>
      </c>
    </row>
    <row r="1236" spans="1:2" x14ac:dyDescent="0.25">
      <c r="A1236" s="127">
        <v>44015</v>
      </c>
      <c r="B1236" s="127" t="s">
        <v>3324</v>
      </c>
    </row>
    <row r="1237" spans="1:2" x14ac:dyDescent="0.25">
      <c r="A1237" s="127">
        <v>44016</v>
      </c>
      <c r="B1237" s="140" t="s">
        <v>3656</v>
      </c>
    </row>
    <row r="1238" spans="1:2" x14ac:dyDescent="0.25">
      <c r="A1238" s="125">
        <v>45001</v>
      </c>
      <c r="B1238" s="126" t="s">
        <v>3325</v>
      </c>
    </row>
    <row r="1239" spans="1:2" x14ac:dyDescent="0.25">
      <c r="A1239" s="125">
        <v>45002</v>
      </c>
      <c r="B1239" s="126" t="s">
        <v>3326</v>
      </c>
    </row>
    <row r="1240" spans="1:2" x14ac:dyDescent="0.25">
      <c r="A1240" s="125">
        <v>45003</v>
      </c>
      <c r="B1240" s="126" t="s">
        <v>3327</v>
      </c>
    </row>
    <row r="1241" spans="1:2" x14ac:dyDescent="0.25">
      <c r="A1241" s="125">
        <v>45004</v>
      </c>
      <c r="B1241" s="126" t="s">
        <v>3328</v>
      </c>
    </row>
    <row r="1242" spans="1:2" x14ac:dyDescent="0.25">
      <c r="A1242" s="125">
        <v>45005</v>
      </c>
      <c r="B1242" s="126" t="s">
        <v>3329</v>
      </c>
    </row>
    <row r="1243" spans="1:2" x14ac:dyDescent="0.25">
      <c r="A1243" s="125">
        <v>45006</v>
      </c>
      <c r="B1243" s="126" t="s">
        <v>3330</v>
      </c>
    </row>
    <row r="1244" spans="1:2" x14ac:dyDescent="0.25">
      <c r="A1244" s="125">
        <v>45007</v>
      </c>
      <c r="B1244" s="126" t="s">
        <v>3331</v>
      </c>
    </row>
    <row r="1245" spans="1:2" x14ac:dyDescent="0.25">
      <c r="A1245" s="125">
        <v>45008</v>
      </c>
      <c r="B1245" s="126" t="s">
        <v>3332</v>
      </c>
    </row>
    <row r="1246" spans="1:2" x14ac:dyDescent="0.25">
      <c r="A1246" s="125">
        <v>45100</v>
      </c>
      <c r="B1246" s="126" t="s">
        <v>3333</v>
      </c>
    </row>
    <row r="1247" spans="1:2" x14ac:dyDescent="0.25">
      <c r="A1247" s="125">
        <v>45101</v>
      </c>
      <c r="B1247" s="126" t="s">
        <v>3334</v>
      </c>
    </row>
    <row r="1248" spans="1:2" x14ac:dyDescent="0.25">
      <c r="A1248" s="125">
        <v>45588</v>
      </c>
      <c r="B1248" s="126" t="s">
        <v>3335</v>
      </c>
    </row>
    <row r="1249" spans="1:2" x14ac:dyDescent="0.25">
      <c r="A1249" s="125">
        <v>46000</v>
      </c>
      <c r="B1249" s="126" t="s">
        <v>3336</v>
      </c>
    </row>
    <row r="1250" spans="1:2" ht="30" x14ac:dyDescent="0.25">
      <c r="A1250" s="125">
        <v>46001</v>
      </c>
      <c r="B1250" s="126" t="s">
        <v>3337</v>
      </c>
    </row>
    <row r="1251" spans="1:2" ht="30" x14ac:dyDescent="0.25">
      <c r="A1251" s="125">
        <v>46002</v>
      </c>
      <c r="B1251" s="128" t="s">
        <v>3890</v>
      </c>
    </row>
    <row r="1252" spans="1:2" ht="30" x14ac:dyDescent="0.25">
      <c r="A1252" s="125">
        <v>46003</v>
      </c>
      <c r="B1252" s="128" t="s">
        <v>3891</v>
      </c>
    </row>
    <row r="1253" spans="1:2" x14ac:dyDescent="0.25">
      <c r="A1253" s="125">
        <v>48603</v>
      </c>
      <c r="B1253" s="126" t="s">
        <v>3338</v>
      </c>
    </row>
    <row r="1254" spans="1:2" x14ac:dyDescent="0.25">
      <c r="A1254" s="125">
        <v>48604</v>
      </c>
      <c r="B1254" s="126" t="s">
        <v>3339</v>
      </c>
    </row>
    <row r="1255" spans="1:2" ht="30" x14ac:dyDescent="0.25">
      <c r="A1255" s="125">
        <v>48605</v>
      </c>
      <c r="B1255" s="128" t="s">
        <v>3340</v>
      </c>
    </row>
    <row r="1256" spans="1:2" ht="45" x14ac:dyDescent="0.25">
      <c r="A1256" s="125">
        <v>48606</v>
      </c>
      <c r="B1256" s="128" t="s">
        <v>3892</v>
      </c>
    </row>
    <row r="1257" spans="1:2" x14ac:dyDescent="0.25">
      <c r="A1257" s="125">
        <v>48610</v>
      </c>
      <c r="B1257" s="126" t="s">
        <v>3341</v>
      </c>
    </row>
    <row r="1258" spans="1:2" x14ac:dyDescent="0.25">
      <c r="A1258" s="125">
        <v>48762</v>
      </c>
      <c r="B1258" s="126" t="s">
        <v>3342</v>
      </c>
    </row>
    <row r="1259" spans="1:2" x14ac:dyDescent="0.25">
      <c r="A1259" s="125">
        <v>48808</v>
      </c>
      <c r="B1259" s="126" t="s">
        <v>3343</v>
      </c>
    </row>
    <row r="1260" spans="1:2" x14ac:dyDescent="0.25">
      <c r="A1260" s="125">
        <v>48809</v>
      </c>
      <c r="B1260" s="126" t="s">
        <v>3344</v>
      </c>
    </row>
    <row r="1261" spans="1:2" x14ac:dyDescent="0.25">
      <c r="A1261" s="125">
        <v>49001</v>
      </c>
      <c r="B1261" s="126" t="s">
        <v>3345</v>
      </c>
    </row>
    <row r="1262" spans="1:2" x14ac:dyDescent="0.25">
      <c r="A1262" s="125">
        <v>49002</v>
      </c>
      <c r="B1262" s="126" t="s">
        <v>3346</v>
      </c>
    </row>
    <row r="1263" spans="1:2" x14ac:dyDescent="0.25">
      <c r="A1263" s="125">
        <v>49003</v>
      </c>
      <c r="B1263" s="126" t="s">
        <v>3347</v>
      </c>
    </row>
    <row r="1264" spans="1:2" x14ac:dyDescent="0.25">
      <c r="A1264" s="125">
        <v>49004</v>
      </c>
      <c r="B1264" s="126" t="s">
        <v>3348</v>
      </c>
    </row>
    <row r="1265" spans="1:2" x14ac:dyDescent="0.25">
      <c r="A1265" s="125">
        <v>49005</v>
      </c>
      <c r="B1265" s="126" t="s">
        <v>3349</v>
      </c>
    </row>
    <row r="1266" spans="1:2" x14ac:dyDescent="0.25">
      <c r="A1266" s="125">
        <v>49006</v>
      </c>
      <c r="B1266" s="126" t="s">
        <v>3350</v>
      </c>
    </row>
    <row r="1267" spans="1:2" x14ac:dyDescent="0.25">
      <c r="A1267" s="125">
        <v>49007</v>
      </c>
      <c r="B1267" s="126" t="s">
        <v>3351</v>
      </c>
    </row>
    <row r="1268" spans="1:2" x14ac:dyDescent="0.25">
      <c r="A1268" s="125">
        <v>49009</v>
      </c>
      <c r="B1268" s="126" t="s">
        <v>3352</v>
      </c>
    </row>
    <row r="1269" spans="1:2" x14ac:dyDescent="0.25">
      <c r="A1269" s="125">
        <v>49010</v>
      </c>
      <c r="B1269" s="126" t="s">
        <v>3353</v>
      </c>
    </row>
    <row r="1270" spans="1:2" x14ac:dyDescent="0.25">
      <c r="A1270" s="125">
        <v>49011</v>
      </c>
      <c r="B1270" s="126" t="s">
        <v>3354</v>
      </c>
    </row>
    <row r="1271" spans="1:2" x14ac:dyDescent="0.25">
      <c r="A1271" s="125">
        <v>49012</v>
      </c>
      <c r="B1271" s="126" t="s">
        <v>3355</v>
      </c>
    </row>
    <row r="1272" spans="1:2" x14ac:dyDescent="0.25">
      <c r="A1272" s="125">
        <v>49013</v>
      </c>
      <c r="B1272" s="126" t="s">
        <v>3356</v>
      </c>
    </row>
    <row r="1273" spans="1:2" x14ac:dyDescent="0.25">
      <c r="A1273" s="125">
        <v>49014</v>
      </c>
      <c r="B1273" s="126" t="s">
        <v>3357</v>
      </c>
    </row>
    <row r="1274" spans="1:2" x14ac:dyDescent="0.25">
      <c r="A1274" s="125">
        <v>49015</v>
      </c>
      <c r="B1274" s="126" t="s">
        <v>3358</v>
      </c>
    </row>
    <row r="1275" spans="1:2" ht="30" x14ac:dyDescent="0.25">
      <c r="A1275" s="125">
        <v>49016</v>
      </c>
      <c r="B1275" s="126" t="s">
        <v>3359</v>
      </c>
    </row>
    <row r="1276" spans="1:2" x14ac:dyDescent="0.25">
      <c r="A1276" s="125">
        <v>49017</v>
      </c>
      <c r="B1276" s="126" t="s">
        <v>3360</v>
      </c>
    </row>
    <row r="1277" spans="1:2" x14ac:dyDescent="0.25">
      <c r="A1277" s="125">
        <v>49018</v>
      </c>
      <c r="B1277" s="126" t="s">
        <v>3361</v>
      </c>
    </row>
    <row r="1278" spans="1:2" x14ac:dyDescent="0.25">
      <c r="A1278" s="125">
        <v>49019</v>
      </c>
      <c r="B1278" s="126" t="s">
        <v>657</v>
      </c>
    </row>
    <row r="1279" spans="1:2" x14ac:dyDescent="0.25">
      <c r="A1279" s="125">
        <v>49020</v>
      </c>
      <c r="B1279" s="126" t="s">
        <v>3362</v>
      </c>
    </row>
    <row r="1280" spans="1:2" ht="30" x14ac:dyDescent="0.25">
      <c r="A1280" s="125">
        <v>49021</v>
      </c>
      <c r="B1280" s="126" t="s">
        <v>3363</v>
      </c>
    </row>
    <row r="1281" spans="1:2" x14ac:dyDescent="0.25">
      <c r="A1281" s="125">
        <v>49022</v>
      </c>
      <c r="B1281" s="128" t="s">
        <v>3364</v>
      </c>
    </row>
    <row r="1282" spans="1:2" x14ac:dyDescent="0.25">
      <c r="A1282" s="125">
        <v>49023</v>
      </c>
      <c r="B1282" s="126" t="s">
        <v>3365</v>
      </c>
    </row>
    <row r="1283" spans="1:2" ht="30" x14ac:dyDescent="0.25">
      <c r="A1283" s="125">
        <v>49024</v>
      </c>
      <c r="B1283" s="126" t="s">
        <v>3366</v>
      </c>
    </row>
    <row r="1284" spans="1:2" ht="30" x14ac:dyDescent="0.25">
      <c r="A1284" s="125">
        <v>49025</v>
      </c>
      <c r="B1284" s="126" t="s">
        <v>3367</v>
      </c>
    </row>
    <row r="1285" spans="1:2" x14ac:dyDescent="0.25">
      <c r="A1285" s="125">
        <v>49026</v>
      </c>
      <c r="B1285" s="128" t="s">
        <v>3368</v>
      </c>
    </row>
    <row r="1286" spans="1:2" x14ac:dyDescent="0.25">
      <c r="A1286" s="125">
        <v>49027</v>
      </c>
      <c r="B1286" s="128" t="s">
        <v>3369</v>
      </c>
    </row>
    <row r="1287" spans="1:2" ht="30" x14ac:dyDescent="0.25">
      <c r="A1287" s="125">
        <v>49029</v>
      </c>
      <c r="B1287" s="128" t="s">
        <v>3370</v>
      </c>
    </row>
    <row r="1288" spans="1:2" x14ac:dyDescent="0.25">
      <c r="A1288" s="125">
        <v>49030</v>
      </c>
      <c r="B1288" s="128" t="s">
        <v>3371</v>
      </c>
    </row>
    <row r="1289" spans="1:2" x14ac:dyDescent="0.25">
      <c r="A1289" s="125">
        <v>49063</v>
      </c>
      <c r="B1289" s="126" t="s">
        <v>3372</v>
      </c>
    </row>
    <row r="1290" spans="1:2" x14ac:dyDescent="0.25">
      <c r="A1290" s="125">
        <v>49541</v>
      </c>
      <c r="B1290" s="126" t="s">
        <v>3373</v>
      </c>
    </row>
    <row r="1291" spans="1:2" x14ac:dyDescent="0.25">
      <c r="A1291" s="125">
        <v>49542</v>
      </c>
      <c r="B1291" s="126" t="s">
        <v>3374</v>
      </c>
    </row>
    <row r="1292" spans="1:2" x14ac:dyDescent="0.25">
      <c r="A1292" s="125">
        <v>49810</v>
      </c>
      <c r="B1292" s="126" t="s">
        <v>3375</v>
      </c>
    </row>
    <row r="1293" spans="1:2" x14ac:dyDescent="0.25">
      <c r="A1293" s="127">
        <v>49820</v>
      </c>
      <c r="B1293" s="127" t="s">
        <v>620</v>
      </c>
    </row>
    <row r="1294" spans="1:2" x14ac:dyDescent="0.25">
      <c r="A1294" s="125">
        <v>49829</v>
      </c>
      <c r="B1294" s="126" t="s">
        <v>3376</v>
      </c>
    </row>
    <row r="1295" spans="1:2" x14ac:dyDescent="0.25">
      <c r="A1295" s="127">
        <v>49830</v>
      </c>
      <c r="B1295" s="127" t="s">
        <v>3377</v>
      </c>
    </row>
    <row r="1296" spans="1:2" x14ac:dyDescent="0.25">
      <c r="A1296" s="127">
        <v>49840</v>
      </c>
      <c r="B1296" s="127" t="s">
        <v>3378</v>
      </c>
    </row>
    <row r="1297" spans="1:2" x14ac:dyDescent="0.25">
      <c r="A1297" s="125">
        <v>52514</v>
      </c>
      <c r="B1297" s="126" t="s">
        <v>3379</v>
      </c>
    </row>
    <row r="1298" spans="1:2" x14ac:dyDescent="0.25">
      <c r="A1298" s="125">
        <v>52515</v>
      </c>
      <c r="B1298" s="128" t="s">
        <v>3380</v>
      </c>
    </row>
    <row r="1299" spans="1:2" x14ac:dyDescent="0.25">
      <c r="A1299" s="125">
        <v>52555</v>
      </c>
      <c r="B1299" s="126" t="s">
        <v>169</v>
      </c>
    </row>
    <row r="1300" spans="1:2" x14ac:dyDescent="0.25">
      <c r="A1300" s="125">
        <v>52584</v>
      </c>
      <c r="B1300" s="126" t="s">
        <v>718</v>
      </c>
    </row>
    <row r="1301" spans="1:2" x14ac:dyDescent="0.25">
      <c r="A1301" s="125">
        <v>52598</v>
      </c>
      <c r="B1301" s="126" t="s">
        <v>3169</v>
      </c>
    </row>
    <row r="1302" spans="1:2" x14ac:dyDescent="0.25">
      <c r="A1302" s="125">
        <v>52620</v>
      </c>
      <c r="B1302" s="126" t="s">
        <v>3381</v>
      </c>
    </row>
    <row r="1303" spans="1:2" x14ac:dyDescent="0.25">
      <c r="A1303" s="125">
        <v>52621</v>
      </c>
      <c r="B1303" s="126" t="s">
        <v>3382</v>
      </c>
    </row>
    <row r="1304" spans="1:2" x14ac:dyDescent="0.25">
      <c r="A1304" s="125">
        <v>52622</v>
      </c>
      <c r="B1304" s="126" t="s">
        <v>3383</v>
      </c>
    </row>
    <row r="1305" spans="1:2" x14ac:dyDescent="0.25">
      <c r="A1305" s="125">
        <v>52623</v>
      </c>
      <c r="B1305" s="126" t="s">
        <v>3384</v>
      </c>
    </row>
    <row r="1306" spans="1:2" x14ac:dyDescent="0.25">
      <c r="A1306" s="125">
        <v>52628</v>
      </c>
      <c r="B1306" s="126" t="s">
        <v>612</v>
      </c>
    </row>
    <row r="1307" spans="1:2" x14ac:dyDescent="0.25">
      <c r="A1307" s="125">
        <v>52654</v>
      </c>
      <c r="B1307" s="126" t="s">
        <v>3385</v>
      </c>
    </row>
    <row r="1308" spans="1:2" x14ac:dyDescent="0.25">
      <c r="A1308" s="125">
        <v>52658</v>
      </c>
      <c r="B1308" s="126" t="s">
        <v>3386</v>
      </c>
    </row>
    <row r="1309" spans="1:2" x14ac:dyDescent="0.25">
      <c r="A1309" s="125">
        <v>52701</v>
      </c>
      <c r="B1309" s="126" t="s">
        <v>3387</v>
      </c>
    </row>
    <row r="1310" spans="1:2" x14ac:dyDescent="0.25">
      <c r="A1310" s="125">
        <v>52702</v>
      </c>
      <c r="B1310" s="126" t="s">
        <v>3388</v>
      </c>
    </row>
    <row r="1311" spans="1:2" x14ac:dyDescent="0.25">
      <c r="A1311" s="125">
        <v>52703</v>
      </c>
      <c r="B1311" s="126" t="s">
        <v>3389</v>
      </c>
    </row>
    <row r="1312" spans="1:2" x14ac:dyDescent="0.25">
      <c r="A1312" s="125">
        <v>52720</v>
      </c>
      <c r="B1312" s="126" t="s">
        <v>3390</v>
      </c>
    </row>
    <row r="1313" spans="1:2" x14ac:dyDescent="0.25">
      <c r="A1313" s="125">
        <v>52722</v>
      </c>
      <c r="B1313" s="126" t="s">
        <v>614</v>
      </c>
    </row>
    <row r="1314" spans="1:2" x14ac:dyDescent="0.25">
      <c r="A1314" s="125">
        <v>52723</v>
      </c>
      <c r="B1314" s="126" t="s">
        <v>2582</v>
      </c>
    </row>
    <row r="1315" spans="1:2" x14ac:dyDescent="0.25">
      <c r="A1315" s="125">
        <v>52724</v>
      </c>
      <c r="B1315" s="126" t="s">
        <v>3391</v>
      </c>
    </row>
    <row r="1316" spans="1:2" x14ac:dyDescent="0.25">
      <c r="A1316" s="125">
        <v>52729</v>
      </c>
      <c r="B1316" s="128" t="s">
        <v>3392</v>
      </c>
    </row>
    <row r="1317" spans="1:2" x14ac:dyDescent="0.25">
      <c r="A1317" s="125">
        <v>52734</v>
      </c>
      <c r="B1317" s="126" t="s">
        <v>3393</v>
      </c>
    </row>
    <row r="1318" spans="1:2" x14ac:dyDescent="0.25">
      <c r="A1318" s="125">
        <v>52740</v>
      </c>
      <c r="B1318" s="126" t="s">
        <v>789</v>
      </c>
    </row>
    <row r="1319" spans="1:2" x14ac:dyDescent="0.25">
      <c r="A1319" s="125">
        <v>52750</v>
      </c>
      <c r="B1319" s="126" t="s">
        <v>828</v>
      </c>
    </row>
    <row r="1320" spans="1:2" x14ac:dyDescent="0.25">
      <c r="A1320" s="125">
        <v>52759</v>
      </c>
      <c r="B1320" s="126" t="s">
        <v>3394</v>
      </c>
    </row>
    <row r="1321" spans="1:2" x14ac:dyDescent="0.25">
      <c r="A1321" s="125">
        <v>53054</v>
      </c>
      <c r="B1321" s="126" t="s">
        <v>3893</v>
      </c>
    </row>
    <row r="1322" spans="1:2" x14ac:dyDescent="0.25">
      <c r="A1322" s="125">
        <v>53310</v>
      </c>
      <c r="B1322" s="126" t="s">
        <v>723</v>
      </c>
    </row>
    <row r="1323" spans="1:2" x14ac:dyDescent="0.25">
      <c r="A1323" s="125">
        <v>53320</v>
      </c>
      <c r="B1323" s="126" t="s">
        <v>621</v>
      </c>
    </row>
    <row r="1324" spans="1:2" x14ac:dyDescent="0.25">
      <c r="A1324" s="125">
        <v>53330</v>
      </c>
      <c r="B1324" s="126" t="s">
        <v>798</v>
      </c>
    </row>
    <row r="1325" spans="1:2" x14ac:dyDescent="0.25">
      <c r="A1325" s="125">
        <v>53331</v>
      </c>
      <c r="B1325" s="126" t="s">
        <v>798</v>
      </c>
    </row>
    <row r="1326" spans="1:2" x14ac:dyDescent="0.25">
      <c r="A1326" s="125">
        <v>53332</v>
      </c>
      <c r="B1326" s="126" t="s">
        <v>798</v>
      </c>
    </row>
    <row r="1327" spans="1:2" x14ac:dyDescent="0.25">
      <c r="A1327" s="125">
        <v>53333</v>
      </c>
      <c r="B1327" s="126" t="s">
        <v>798</v>
      </c>
    </row>
    <row r="1328" spans="1:2" x14ac:dyDescent="0.25">
      <c r="A1328" s="127">
        <v>53334</v>
      </c>
      <c r="B1328" s="127" t="s">
        <v>354</v>
      </c>
    </row>
    <row r="1329" spans="1:2" x14ac:dyDescent="0.25">
      <c r="A1329" s="125">
        <v>53339</v>
      </c>
      <c r="B1329" s="126" t="s">
        <v>798</v>
      </c>
    </row>
    <row r="1330" spans="1:2" x14ac:dyDescent="0.25">
      <c r="A1330" s="125">
        <v>53340</v>
      </c>
      <c r="B1330" s="126" t="s">
        <v>798</v>
      </c>
    </row>
    <row r="1331" spans="1:2" x14ac:dyDescent="0.25">
      <c r="A1331" s="125">
        <v>53380</v>
      </c>
      <c r="B1331" s="126" t="s">
        <v>3395</v>
      </c>
    </row>
    <row r="1332" spans="1:2" x14ac:dyDescent="0.25">
      <c r="A1332" s="125">
        <v>53381</v>
      </c>
      <c r="B1332" s="126" t="s">
        <v>3396</v>
      </c>
    </row>
    <row r="1333" spans="1:2" x14ac:dyDescent="0.25">
      <c r="A1333" s="125">
        <v>53629</v>
      </c>
      <c r="B1333" s="126" t="s">
        <v>3397</v>
      </c>
    </row>
    <row r="1334" spans="1:2" x14ac:dyDescent="0.25">
      <c r="A1334" s="125">
        <v>53667</v>
      </c>
      <c r="B1334" s="126" t="s">
        <v>3380</v>
      </c>
    </row>
    <row r="1335" spans="1:2" x14ac:dyDescent="0.25">
      <c r="A1335" s="125">
        <v>53700</v>
      </c>
      <c r="B1335" s="126" t="s">
        <v>3398</v>
      </c>
    </row>
    <row r="1336" spans="1:2" x14ac:dyDescent="0.25">
      <c r="A1336" s="125">
        <v>53710</v>
      </c>
      <c r="B1336" s="126" t="s">
        <v>3399</v>
      </c>
    </row>
    <row r="1337" spans="1:2" x14ac:dyDescent="0.25">
      <c r="A1337" s="125">
        <v>53808</v>
      </c>
      <c r="B1337" s="126" t="s">
        <v>3400</v>
      </c>
    </row>
    <row r="1338" spans="1:2" x14ac:dyDescent="0.25">
      <c r="A1338" s="125">
        <v>53913</v>
      </c>
      <c r="B1338" s="126" t="s">
        <v>3401</v>
      </c>
    </row>
    <row r="1339" spans="1:2" x14ac:dyDescent="0.25">
      <c r="A1339" s="125">
        <v>55700</v>
      </c>
      <c r="B1339" s="126" t="s">
        <v>3402</v>
      </c>
    </row>
    <row r="1340" spans="1:2" x14ac:dyDescent="0.25">
      <c r="A1340" s="125">
        <v>55734</v>
      </c>
      <c r="B1340" s="126" t="s">
        <v>2998</v>
      </c>
    </row>
    <row r="1341" spans="1:2" x14ac:dyDescent="0.25">
      <c r="A1341" s="125">
        <v>57001</v>
      </c>
      <c r="B1341" s="126" t="s">
        <v>3403</v>
      </c>
    </row>
    <row r="1342" spans="1:2" x14ac:dyDescent="0.25">
      <c r="A1342" s="125">
        <v>57002</v>
      </c>
      <c r="B1342" s="126" t="s">
        <v>3404</v>
      </c>
    </row>
    <row r="1343" spans="1:2" ht="30" x14ac:dyDescent="0.25">
      <c r="A1343" s="125">
        <v>57003</v>
      </c>
      <c r="B1343" s="126" t="s">
        <v>3405</v>
      </c>
    </row>
    <row r="1344" spans="1:2" ht="30" x14ac:dyDescent="0.25">
      <c r="A1344" s="125">
        <v>57004</v>
      </c>
      <c r="B1344" s="126" t="s">
        <v>3406</v>
      </c>
    </row>
    <row r="1345" spans="1:2" ht="45" x14ac:dyDescent="0.25">
      <c r="A1345" s="125">
        <v>57005</v>
      </c>
      <c r="B1345" s="128" t="s">
        <v>3894</v>
      </c>
    </row>
    <row r="1346" spans="1:2" x14ac:dyDescent="0.25">
      <c r="A1346" s="125">
        <v>59734</v>
      </c>
      <c r="B1346" s="126" t="s">
        <v>3407</v>
      </c>
    </row>
    <row r="1347" spans="1:2" x14ac:dyDescent="0.25">
      <c r="A1347" s="125">
        <v>60001</v>
      </c>
      <c r="B1347" s="128" t="s">
        <v>3657</v>
      </c>
    </row>
    <row r="1348" spans="1:2" x14ac:dyDescent="0.25">
      <c r="A1348" s="125">
        <v>60002</v>
      </c>
      <c r="B1348" s="126" t="s">
        <v>3408</v>
      </c>
    </row>
    <row r="1349" spans="1:2" x14ac:dyDescent="0.25">
      <c r="A1349" s="125">
        <v>60010</v>
      </c>
      <c r="B1349" s="126" t="s">
        <v>3409</v>
      </c>
    </row>
    <row r="1350" spans="1:2" x14ac:dyDescent="0.25">
      <c r="A1350" s="125">
        <v>60020</v>
      </c>
      <c r="B1350" s="126" t="s">
        <v>786</v>
      </c>
    </row>
    <row r="1351" spans="1:2" x14ac:dyDescent="0.25">
      <c r="A1351" s="125">
        <v>60030</v>
      </c>
      <c r="B1351" s="126" t="s">
        <v>788</v>
      </c>
    </row>
    <row r="1352" spans="1:2" x14ac:dyDescent="0.25">
      <c r="A1352" s="125">
        <v>60050</v>
      </c>
      <c r="B1352" s="126" t="s">
        <v>3410</v>
      </c>
    </row>
    <row r="1353" spans="1:2" x14ac:dyDescent="0.25">
      <c r="A1353" s="125">
        <v>60051</v>
      </c>
      <c r="B1353" s="126" t="s">
        <v>3411</v>
      </c>
    </row>
    <row r="1354" spans="1:2" x14ac:dyDescent="0.25">
      <c r="A1354" s="125">
        <v>60055</v>
      </c>
      <c r="B1354" s="126" t="s">
        <v>3412</v>
      </c>
    </row>
    <row r="1355" spans="1:2" x14ac:dyDescent="0.25">
      <c r="A1355" s="125">
        <v>60059</v>
      </c>
      <c r="B1355" s="126" t="s">
        <v>3413</v>
      </c>
    </row>
    <row r="1356" spans="1:2" x14ac:dyDescent="0.25">
      <c r="A1356" s="125">
        <v>60060</v>
      </c>
      <c r="B1356" s="126" t="s">
        <v>3414</v>
      </c>
    </row>
    <row r="1357" spans="1:2" x14ac:dyDescent="0.25">
      <c r="A1357" s="125">
        <v>60070</v>
      </c>
      <c r="B1357" s="126" t="s">
        <v>833</v>
      </c>
    </row>
    <row r="1358" spans="1:2" x14ac:dyDescent="0.25">
      <c r="A1358" s="125">
        <v>60080</v>
      </c>
      <c r="B1358" s="126" t="s">
        <v>3415</v>
      </c>
    </row>
    <row r="1359" spans="1:2" x14ac:dyDescent="0.25">
      <c r="A1359" s="125">
        <v>60090</v>
      </c>
      <c r="B1359" s="126" t="s">
        <v>3416</v>
      </c>
    </row>
    <row r="1360" spans="1:2" x14ac:dyDescent="0.25">
      <c r="A1360" s="125">
        <v>60094</v>
      </c>
      <c r="B1360" s="126" t="s">
        <v>3417</v>
      </c>
    </row>
    <row r="1361" spans="1:2" x14ac:dyDescent="0.25">
      <c r="A1361" s="125">
        <v>60097</v>
      </c>
      <c r="B1361" s="126" t="s">
        <v>3418</v>
      </c>
    </row>
    <row r="1362" spans="1:2" x14ac:dyDescent="0.25">
      <c r="A1362" s="125">
        <v>60204</v>
      </c>
      <c r="B1362" s="126" t="s">
        <v>3419</v>
      </c>
    </row>
    <row r="1363" spans="1:2" x14ac:dyDescent="0.25">
      <c r="A1363" s="125">
        <v>60206</v>
      </c>
      <c r="B1363" s="126" t="s">
        <v>3420</v>
      </c>
    </row>
    <row r="1364" spans="1:2" x14ac:dyDescent="0.25">
      <c r="A1364" s="125">
        <v>60207</v>
      </c>
      <c r="B1364" s="126" t="s">
        <v>253</v>
      </c>
    </row>
    <row r="1365" spans="1:2" x14ac:dyDescent="0.25">
      <c r="A1365" s="125">
        <v>60208</v>
      </c>
      <c r="B1365" s="126" t="s">
        <v>3421</v>
      </c>
    </row>
    <row r="1366" spans="1:2" x14ac:dyDescent="0.25">
      <c r="A1366" s="125">
        <v>60209</v>
      </c>
      <c r="B1366" s="126" t="s">
        <v>384</v>
      </c>
    </row>
    <row r="1367" spans="1:2" x14ac:dyDescent="0.25">
      <c r="A1367" s="125">
        <v>60210</v>
      </c>
      <c r="B1367" s="126" t="s">
        <v>3422</v>
      </c>
    </row>
    <row r="1368" spans="1:2" x14ac:dyDescent="0.25">
      <c r="A1368" s="125">
        <v>60213</v>
      </c>
      <c r="B1368" s="126" t="s">
        <v>3423</v>
      </c>
    </row>
    <row r="1369" spans="1:2" x14ac:dyDescent="0.25">
      <c r="A1369" s="125">
        <v>62000</v>
      </c>
      <c r="B1369" s="126" t="s">
        <v>3424</v>
      </c>
    </row>
    <row r="1370" spans="1:2" x14ac:dyDescent="0.25">
      <c r="A1370" s="125">
        <v>62001</v>
      </c>
      <c r="B1370" s="126" t="s">
        <v>3425</v>
      </c>
    </row>
    <row r="1371" spans="1:2" ht="60" x14ac:dyDescent="0.25">
      <c r="A1371" s="125">
        <v>62002</v>
      </c>
      <c r="B1371" s="128" t="s">
        <v>3426</v>
      </c>
    </row>
    <row r="1372" spans="1:2" ht="30" x14ac:dyDescent="0.25">
      <c r="A1372" s="125">
        <v>62003</v>
      </c>
      <c r="B1372" s="128" t="s">
        <v>3427</v>
      </c>
    </row>
    <row r="1373" spans="1:2" x14ac:dyDescent="0.25">
      <c r="A1373" s="125">
        <v>62004</v>
      </c>
      <c r="B1373" s="128" t="s">
        <v>3895</v>
      </c>
    </row>
    <row r="1374" spans="1:2" x14ac:dyDescent="0.25">
      <c r="A1374" s="127">
        <v>62005</v>
      </c>
      <c r="B1374" s="127" t="s">
        <v>588</v>
      </c>
    </row>
    <row r="1375" spans="1:2" x14ac:dyDescent="0.25">
      <c r="A1375" s="127">
        <v>62007</v>
      </c>
      <c r="B1375" s="138" t="s">
        <v>3428</v>
      </c>
    </row>
    <row r="1376" spans="1:2" x14ac:dyDescent="0.25">
      <c r="A1376" s="127">
        <v>62008</v>
      </c>
      <c r="B1376" s="127" t="s">
        <v>3429</v>
      </c>
    </row>
    <row r="1377" spans="1:2" x14ac:dyDescent="0.25">
      <c r="A1377" s="125">
        <v>62009</v>
      </c>
      <c r="B1377" s="128" t="s">
        <v>3430</v>
      </c>
    </row>
    <row r="1378" spans="1:2" x14ac:dyDescent="0.25">
      <c r="A1378" s="125">
        <v>62010</v>
      </c>
      <c r="B1378" s="128" t="s">
        <v>201</v>
      </c>
    </row>
    <row r="1379" spans="1:2" x14ac:dyDescent="0.25">
      <c r="A1379" s="125">
        <v>62011</v>
      </c>
      <c r="B1379" s="128" t="s">
        <v>3896</v>
      </c>
    </row>
    <row r="1380" spans="1:2" x14ac:dyDescent="0.25">
      <c r="A1380" s="125">
        <v>62012</v>
      </c>
      <c r="B1380" s="128" t="s">
        <v>3897</v>
      </c>
    </row>
    <row r="1381" spans="1:2" x14ac:dyDescent="0.25">
      <c r="A1381" s="125">
        <v>62100</v>
      </c>
      <c r="B1381" s="126" t="s">
        <v>726</v>
      </c>
    </row>
    <row r="1382" spans="1:2" x14ac:dyDescent="0.25">
      <c r="A1382" s="125">
        <v>62110</v>
      </c>
      <c r="B1382" s="126" t="s">
        <v>3431</v>
      </c>
    </row>
    <row r="1383" spans="1:2" x14ac:dyDescent="0.25">
      <c r="A1383" s="125">
        <v>62200</v>
      </c>
      <c r="B1383" s="126" t="s">
        <v>3432</v>
      </c>
    </row>
    <row r="1384" spans="1:2" x14ac:dyDescent="0.25">
      <c r="A1384" s="125">
        <v>62300</v>
      </c>
      <c r="B1384" s="126" t="s">
        <v>3433</v>
      </c>
    </row>
    <row r="1385" spans="1:2" x14ac:dyDescent="0.25">
      <c r="A1385" s="125">
        <v>62600</v>
      </c>
      <c r="B1385" s="126" t="s">
        <v>3434</v>
      </c>
    </row>
    <row r="1386" spans="1:2" x14ac:dyDescent="0.25">
      <c r="A1386" s="125">
        <v>62601</v>
      </c>
      <c r="B1386" s="126" t="s">
        <v>3435</v>
      </c>
    </row>
    <row r="1387" spans="1:2" x14ac:dyDescent="0.25">
      <c r="A1387" s="125">
        <v>62700</v>
      </c>
      <c r="B1387" s="126" t="s">
        <v>3436</v>
      </c>
    </row>
    <row r="1388" spans="1:2" x14ac:dyDescent="0.25">
      <c r="A1388" s="125">
        <v>63230</v>
      </c>
      <c r="B1388" s="126" t="s">
        <v>3437</v>
      </c>
    </row>
    <row r="1389" spans="1:2" x14ac:dyDescent="0.25">
      <c r="A1389" s="125">
        <v>63237</v>
      </c>
      <c r="B1389" s="126" t="s">
        <v>3438</v>
      </c>
    </row>
    <row r="1390" spans="1:2" x14ac:dyDescent="0.25">
      <c r="A1390" s="125">
        <v>64100</v>
      </c>
      <c r="B1390" s="126" t="s">
        <v>3439</v>
      </c>
    </row>
    <row r="1391" spans="1:2" x14ac:dyDescent="0.25">
      <c r="A1391" s="125">
        <v>64235</v>
      </c>
      <c r="B1391" s="126" t="s">
        <v>608</v>
      </c>
    </row>
    <row r="1392" spans="1:2" x14ac:dyDescent="0.25">
      <c r="A1392" s="125">
        <v>64236</v>
      </c>
      <c r="B1392" s="126" t="s">
        <v>3440</v>
      </c>
    </row>
    <row r="1393" spans="1:2" x14ac:dyDescent="0.25">
      <c r="A1393" s="125">
        <v>64240</v>
      </c>
      <c r="B1393" s="126" t="s">
        <v>3441</v>
      </c>
    </row>
    <row r="1394" spans="1:2" x14ac:dyDescent="0.25">
      <c r="A1394" s="125">
        <v>65250</v>
      </c>
      <c r="B1394" s="126" t="s">
        <v>3442</v>
      </c>
    </row>
    <row r="1395" spans="1:2" x14ac:dyDescent="0.25">
      <c r="A1395" s="125">
        <v>65481</v>
      </c>
      <c r="B1395" s="126" t="s">
        <v>3443</v>
      </c>
    </row>
    <row r="1396" spans="1:2" x14ac:dyDescent="0.25">
      <c r="A1396" s="125">
        <v>65502</v>
      </c>
      <c r="B1396" s="126" t="s">
        <v>3444</v>
      </c>
    </row>
    <row r="1397" spans="1:2" x14ac:dyDescent="0.25">
      <c r="A1397" s="125">
        <v>65503</v>
      </c>
      <c r="B1397" s="126" t="s">
        <v>3445</v>
      </c>
    </row>
    <row r="1398" spans="1:2" x14ac:dyDescent="0.25">
      <c r="A1398" s="125">
        <v>65504</v>
      </c>
      <c r="B1398" s="126" t="s">
        <v>3446</v>
      </c>
    </row>
    <row r="1399" spans="1:2" x14ac:dyDescent="0.25">
      <c r="A1399" s="125">
        <v>65739</v>
      </c>
      <c r="B1399" s="126" t="s">
        <v>3447</v>
      </c>
    </row>
    <row r="1400" spans="1:2" x14ac:dyDescent="0.25">
      <c r="A1400" s="125">
        <v>65795</v>
      </c>
      <c r="B1400" s="126" t="s">
        <v>66</v>
      </c>
    </row>
    <row r="1401" spans="1:2" x14ac:dyDescent="0.25">
      <c r="A1401" s="125">
        <v>65796</v>
      </c>
      <c r="B1401" s="126" t="s">
        <v>3448</v>
      </c>
    </row>
    <row r="1402" spans="1:2" x14ac:dyDescent="0.25">
      <c r="A1402" s="125">
        <v>66000</v>
      </c>
      <c r="B1402" s="128" t="s">
        <v>405</v>
      </c>
    </row>
    <row r="1403" spans="1:2" x14ac:dyDescent="0.25">
      <c r="A1403" s="125">
        <v>66001</v>
      </c>
      <c r="B1403" s="128" t="s">
        <v>3449</v>
      </c>
    </row>
    <row r="1404" spans="1:2" x14ac:dyDescent="0.25">
      <c r="A1404" s="125">
        <v>66002</v>
      </c>
      <c r="B1404" s="128" t="s">
        <v>3450</v>
      </c>
    </row>
    <row r="1405" spans="1:2" x14ac:dyDescent="0.25">
      <c r="A1405" s="125">
        <v>66003</v>
      </c>
      <c r="B1405" s="123" t="s">
        <v>3450</v>
      </c>
    </row>
    <row r="1406" spans="1:2" x14ac:dyDescent="0.25">
      <c r="A1406" s="125">
        <v>66201</v>
      </c>
      <c r="B1406" s="128" t="s">
        <v>3451</v>
      </c>
    </row>
    <row r="1407" spans="1:2" x14ac:dyDescent="0.25">
      <c r="A1407" s="125">
        <v>66202</v>
      </c>
      <c r="B1407" s="126" t="s">
        <v>3452</v>
      </c>
    </row>
    <row r="1408" spans="1:2" x14ac:dyDescent="0.25">
      <c r="A1408" s="125">
        <v>66203</v>
      </c>
      <c r="B1408" s="126" t="s">
        <v>3453</v>
      </c>
    </row>
    <row r="1409" spans="1:2" x14ac:dyDescent="0.25">
      <c r="A1409" s="125">
        <v>66260</v>
      </c>
      <c r="B1409" s="126" t="s">
        <v>3454</v>
      </c>
    </row>
    <row r="1410" spans="1:2" x14ac:dyDescent="0.25">
      <c r="A1410" s="125">
        <v>66261</v>
      </c>
      <c r="B1410" s="126" t="s">
        <v>3455</v>
      </c>
    </row>
    <row r="1411" spans="1:2" x14ac:dyDescent="0.25">
      <c r="A1411" s="125">
        <v>66262</v>
      </c>
      <c r="B1411" s="126" t="s">
        <v>3456</v>
      </c>
    </row>
    <row r="1412" spans="1:2" x14ac:dyDescent="0.25">
      <c r="A1412" s="125">
        <v>66263</v>
      </c>
      <c r="B1412" s="126" t="s">
        <v>3457</v>
      </c>
    </row>
    <row r="1413" spans="1:2" x14ac:dyDescent="0.25">
      <c r="A1413" s="125">
        <v>66266</v>
      </c>
      <c r="B1413" s="126" t="s">
        <v>3458</v>
      </c>
    </row>
    <row r="1414" spans="1:2" x14ac:dyDescent="0.25">
      <c r="A1414" s="125">
        <v>66622</v>
      </c>
      <c r="B1414" s="126" t="s">
        <v>3459</v>
      </c>
    </row>
    <row r="1415" spans="1:2" x14ac:dyDescent="0.25">
      <c r="A1415" s="125">
        <v>66623</v>
      </c>
      <c r="B1415" s="126" t="s">
        <v>3460</v>
      </c>
    </row>
    <row r="1416" spans="1:2" x14ac:dyDescent="0.25">
      <c r="A1416" s="125">
        <v>66624</v>
      </c>
      <c r="B1416" s="126" t="s">
        <v>3461</v>
      </c>
    </row>
    <row r="1417" spans="1:2" x14ac:dyDescent="0.25">
      <c r="A1417" s="125">
        <v>66625</v>
      </c>
      <c r="B1417" s="126" t="s">
        <v>116</v>
      </c>
    </row>
    <row r="1418" spans="1:2" x14ac:dyDescent="0.25">
      <c r="A1418" s="125">
        <v>66626</v>
      </c>
      <c r="B1418" s="126" t="s">
        <v>3462</v>
      </c>
    </row>
    <row r="1419" spans="1:2" x14ac:dyDescent="0.25">
      <c r="A1419" s="125">
        <v>66653</v>
      </c>
      <c r="B1419" s="126" t="s">
        <v>3463</v>
      </c>
    </row>
    <row r="1420" spans="1:2" x14ac:dyDescent="0.25">
      <c r="A1420" s="125">
        <v>66659</v>
      </c>
      <c r="B1420" s="126" t="s">
        <v>3464</v>
      </c>
    </row>
    <row r="1421" spans="1:2" x14ac:dyDescent="0.25">
      <c r="A1421" s="125">
        <v>66660</v>
      </c>
      <c r="B1421" s="126" t="s">
        <v>3465</v>
      </c>
    </row>
    <row r="1422" spans="1:2" x14ac:dyDescent="0.25">
      <c r="A1422" s="125">
        <v>66661</v>
      </c>
      <c r="B1422" s="126" t="s">
        <v>3466</v>
      </c>
    </row>
    <row r="1423" spans="1:2" x14ac:dyDescent="0.25">
      <c r="A1423" s="125">
        <v>67270</v>
      </c>
      <c r="B1423" s="126" t="s">
        <v>3436</v>
      </c>
    </row>
    <row r="1424" spans="1:2" x14ac:dyDescent="0.25">
      <c r="A1424" s="125">
        <v>67710</v>
      </c>
      <c r="B1424" s="126" t="s">
        <v>3467</v>
      </c>
    </row>
    <row r="1425" spans="1:2" x14ac:dyDescent="0.25">
      <c r="A1425" s="125">
        <v>67711</v>
      </c>
      <c r="B1425" s="126" t="s">
        <v>3468</v>
      </c>
    </row>
    <row r="1426" spans="1:2" x14ac:dyDescent="0.25">
      <c r="A1426" s="125">
        <v>67713</v>
      </c>
      <c r="B1426" s="126" t="s">
        <v>3469</v>
      </c>
    </row>
    <row r="1427" spans="1:2" x14ac:dyDescent="0.25">
      <c r="A1427" s="125">
        <v>67714</v>
      </c>
      <c r="B1427" s="126" t="s">
        <v>3470</v>
      </c>
    </row>
    <row r="1428" spans="1:2" x14ac:dyDescent="0.25">
      <c r="A1428" s="125">
        <v>67717</v>
      </c>
      <c r="B1428" s="126" t="s">
        <v>3471</v>
      </c>
    </row>
    <row r="1429" spans="1:2" x14ac:dyDescent="0.25">
      <c r="A1429" s="125">
        <v>67718</v>
      </c>
      <c r="B1429" s="126" t="s">
        <v>3472</v>
      </c>
    </row>
    <row r="1430" spans="1:2" x14ac:dyDescent="0.25">
      <c r="A1430" s="125">
        <v>67719</v>
      </c>
      <c r="B1430" s="126" t="s">
        <v>3473</v>
      </c>
    </row>
    <row r="1431" spans="1:2" x14ac:dyDescent="0.25">
      <c r="A1431" s="125">
        <v>67720</v>
      </c>
      <c r="B1431" s="126" t="s">
        <v>3474</v>
      </c>
    </row>
    <row r="1432" spans="1:2" x14ac:dyDescent="0.25">
      <c r="A1432" s="125">
        <v>67723</v>
      </c>
      <c r="B1432" s="126" t="s">
        <v>3475</v>
      </c>
    </row>
    <row r="1433" spans="1:2" x14ac:dyDescent="0.25">
      <c r="A1433" s="125">
        <v>67724</v>
      </c>
      <c r="B1433" s="126" t="s">
        <v>3476</v>
      </c>
    </row>
    <row r="1434" spans="1:2" x14ac:dyDescent="0.25">
      <c r="A1434" s="125">
        <v>67726</v>
      </c>
      <c r="B1434" s="126" t="s">
        <v>3477</v>
      </c>
    </row>
    <row r="1435" spans="1:2" x14ac:dyDescent="0.25">
      <c r="A1435" s="125">
        <v>67727</v>
      </c>
      <c r="B1435" s="126" t="s">
        <v>3478</v>
      </c>
    </row>
    <row r="1436" spans="1:2" x14ac:dyDescent="0.25">
      <c r="A1436" s="125">
        <v>67728</v>
      </c>
      <c r="B1436" s="126" t="s">
        <v>3479</v>
      </c>
    </row>
    <row r="1437" spans="1:2" x14ac:dyDescent="0.25">
      <c r="A1437" s="125">
        <v>67729</v>
      </c>
      <c r="B1437" s="126" t="s">
        <v>3480</v>
      </c>
    </row>
    <row r="1438" spans="1:2" x14ac:dyDescent="0.25">
      <c r="A1438" s="125">
        <v>67730</v>
      </c>
      <c r="B1438" s="126" t="s">
        <v>3481</v>
      </c>
    </row>
    <row r="1439" spans="1:2" x14ac:dyDescent="0.25">
      <c r="A1439" s="125">
        <v>67750</v>
      </c>
      <c r="B1439" s="126" t="s">
        <v>3482</v>
      </c>
    </row>
    <row r="1440" spans="1:2" x14ac:dyDescent="0.25">
      <c r="A1440" s="125">
        <v>67751</v>
      </c>
      <c r="B1440" s="126" t="s">
        <v>3483</v>
      </c>
    </row>
    <row r="1441" spans="1:2" x14ac:dyDescent="0.25">
      <c r="A1441" s="125">
        <v>67752</v>
      </c>
      <c r="B1441" s="126" t="s">
        <v>3484</v>
      </c>
    </row>
    <row r="1442" spans="1:2" x14ac:dyDescent="0.25">
      <c r="A1442" s="125">
        <v>67753</v>
      </c>
      <c r="B1442" s="126" t="s">
        <v>3485</v>
      </c>
    </row>
    <row r="1443" spans="1:2" x14ac:dyDescent="0.25">
      <c r="A1443" s="125">
        <v>67754</v>
      </c>
      <c r="B1443" s="126" t="s">
        <v>3486</v>
      </c>
    </row>
    <row r="1444" spans="1:2" x14ac:dyDescent="0.25">
      <c r="A1444" s="125">
        <v>67755</v>
      </c>
      <c r="B1444" s="126" t="s">
        <v>3487</v>
      </c>
    </row>
    <row r="1445" spans="1:2" x14ac:dyDescent="0.25">
      <c r="A1445" s="125">
        <v>67756</v>
      </c>
      <c r="B1445" s="126" t="s">
        <v>3488</v>
      </c>
    </row>
    <row r="1446" spans="1:2" x14ac:dyDescent="0.25">
      <c r="A1446" s="125">
        <v>67757</v>
      </c>
      <c r="B1446" s="126" t="s">
        <v>3489</v>
      </c>
    </row>
    <row r="1447" spans="1:2" x14ac:dyDescent="0.25">
      <c r="A1447" s="125">
        <v>67758</v>
      </c>
      <c r="B1447" s="126" t="s">
        <v>3490</v>
      </c>
    </row>
    <row r="1448" spans="1:2" x14ac:dyDescent="0.25">
      <c r="A1448" s="125">
        <v>67759</v>
      </c>
      <c r="B1448" s="126" t="s">
        <v>3491</v>
      </c>
    </row>
    <row r="1449" spans="1:2" x14ac:dyDescent="0.25">
      <c r="A1449" s="125">
        <v>67760</v>
      </c>
      <c r="B1449" s="126" t="s">
        <v>3492</v>
      </c>
    </row>
    <row r="1450" spans="1:2" x14ac:dyDescent="0.25">
      <c r="A1450" s="125">
        <v>67761</v>
      </c>
      <c r="B1450" s="126" t="s">
        <v>3493</v>
      </c>
    </row>
    <row r="1451" spans="1:2" x14ac:dyDescent="0.25">
      <c r="A1451" s="125">
        <v>67762</v>
      </c>
      <c r="B1451" s="126" t="s">
        <v>3494</v>
      </c>
    </row>
    <row r="1452" spans="1:2" x14ac:dyDescent="0.25">
      <c r="A1452" s="125">
        <v>67763</v>
      </c>
      <c r="B1452" s="126" t="s">
        <v>168</v>
      </c>
    </row>
    <row r="1453" spans="1:2" x14ac:dyDescent="0.25">
      <c r="A1453" s="125">
        <v>68201</v>
      </c>
      <c r="B1453" s="126" t="s">
        <v>3495</v>
      </c>
    </row>
    <row r="1454" spans="1:2" x14ac:dyDescent="0.25">
      <c r="A1454" s="125">
        <v>68280</v>
      </c>
      <c r="B1454" s="126" t="s">
        <v>3496</v>
      </c>
    </row>
    <row r="1455" spans="1:2" x14ac:dyDescent="0.25">
      <c r="A1455" s="125">
        <v>68656</v>
      </c>
      <c r="B1455" s="126" t="s">
        <v>3497</v>
      </c>
    </row>
    <row r="1456" spans="1:2" x14ac:dyDescent="0.25">
      <c r="A1456" s="125">
        <v>69001</v>
      </c>
      <c r="B1456" s="126" t="s">
        <v>576</v>
      </c>
    </row>
    <row r="1457" spans="1:2" x14ac:dyDescent="0.25">
      <c r="A1457" s="125">
        <v>69002</v>
      </c>
      <c r="B1457" s="126" t="s">
        <v>577</v>
      </c>
    </row>
    <row r="1458" spans="1:2" x14ac:dyDescent="0.25">
      <c r="A1458" s="125">
        <v>69003</v>
      </c>
      <c r="B1458" s="126" t="s">
        <v>3498</v>
      </c>
    </row>
    <row r="1459" spans="1:2" x14ac:dyDescent="0.25">
      <c r="A1459" s="125">
        <v>69004</v>
      </c>
      <c r="B1459" s="126" t="s">
        <v>3898</v>
      </c>
    </row>
    <row r="1460" spans="1:2" x14ac:dyDescent="0.25">
      <c r="A1460" s="125">
        <v>69100</v>
      </c>
      <c r="B1460" s="126" t="s">
        <v>3499</v>
      </c>
    </row>
    <row r="1461" spans="1:2" x14ac:dyDescent="0.25">
      <c r="A1461" s="125">
        <v>69101</v>
      </c>
      <c r="B1461" s="126" t="s">
        <v>3500</v>
      </c>
    </row>
    <row r="1462" spans="1:2" x14ac:dyDescent="0.25">
      <c r="A1462" s="125">
        <v>69200</v>
      </c>
      <c r="B1462" s="126" t="s">
        <v>3501</v>
      </c>
    </row>
    <row r="1463" spans="1:2" x14ac:dyDescent="0.25">
      <c r="A1463" s="125">
        <v>69201</v>
      </c>
      <c r="B1463" s="126" t="s">
        <v>3502</v>
      </c>
    </row>
    <row r="1464" spans="1:2" x14ac:dyDescent="0.25">
      <c r="A1464" s="125">
        <v>69208</v>
      </c>
      <c r="B1464" s="126" t="s">
        <v>3503</v>
      </c>
    </row>
    <row r="1465" spans="1:2" x14ac:dyDescent="0.25">
      <c r="A1465" s="125">
        <v>69209</v>
      </c>
      <c r="B1465" s="126" t="s">
        <v>3504</v>
      </c>
    </row>
    <row r="1466" spans="1:2" x14ac:dyDescent="0.25">
      <c r="A1466" s="125">
        <v>69210</v>
      </c>
      <c r="B1466" s="126" t="s">
        <v>3505</v>
      </c>
    </row>
    <row r="1467" spans="1:2" x14ac:dyDescent="0.25">
      <c r="A1467" s="125">
        <v>69235</v>
      </c>
      <c r="B1467" s="126" t="s">
        <v>3506</v>
      </c>
    </row>
    <row r="1468" spans="1:2" x14ac:dyDescent="0.25">
      <c r="A1468" s="125">
        <v>69250</v>
      </c>
      <c r="B1468" s="126" t="s">
        <v>3507</v>
      </c>
    </row>
    <row r="1469" spans="1:2" x14ac:dyDescent="0.25">
      <c r="A1469" s="125">
        <v>69290</v>
      </c>
      <c r="B1469" s="126" t="s">
        <v>3508</v>
      </c>
    </row>
    <row r="1470" spans="1:2" x14ac:dyDescent="0.25">
      <c r="A1470" s="125">
        <v>69292</v>
      </c>
      <c r="B1470" s="126" t="s">
        <v>3509</v>
      </c>
    </row>
    <row r="1471" spans="1:2" x14ac:dyDescent="0.25">
      <c r="A1471" s="125">
        <v>69295</v>
      </c>
      <c r="B1471" s="126" t="s">
        <v>3510</v>
      </c>
    </row>
    <row r="1472" spans="1:2" x14ac:dyDescent="0.25">
      <c r="A1472" s="125">
        <v>69296</v>
      </c>
      <c r="B1472" s="126" t="s">
        <v>3511</v>
      </c>
    </row>
    <row r="1473" spans="1:2" x14ac:dyDescent="0.25">
      <c r="A1473" s="125">
        <v>69297</v>
      </c>
      <c r="B1473" s="126" t="s">
        <v>3512</v>
      </c>
    </row>
    <row r="1474" spans="1:2" x14ac:dyDescent="0.25">
      <c r="A1474" s="125">
        <v>69299</v>
      </c>
      <c r="B1474" s="126" t="s">
        <v>3513</v>
      </c>
    </row>
    <row r="1475" spans="1:2" x14ac:dyDescent="0.25">
      <c r="A1475" s="125">
        <v>69300</v>
      </c>
      <c r="B1475" s="126" t="s">
        <v>3514</v>
      </c>
    </row>
    <row r="1476" spans="1:2" x14ac:dyDescent="0.25">
      <c r="A1476" s="125">
        <v>69301</v>
      </c>
      <c r="B1476" s="126" t="s">
        <v>3515</v>
      </c>
    </row>
    <row r="1477" spans="1:2" x14ac:dyDescent="0.25">
      <c r="A1477" s="125">
        <v>69330</v>
      </c>
      <c r="B1477" s="126" t="s">
        <v>683</v>
      </c>
    </row>
    <row r="1478" spans="1:2" x14ac:dyDescent="0.25">
      <c r="A1478" s="125">
        <v>69400</v>
      </c>
      <c r="B1478" s="126" t="s">
        <v>3516</v>
      </c>
    </row>
    <row r="1479" spans="1:2" x14ac:dyDescent="0.25">
      <c r="A1479" s="125">
        <v>69409</v>
      </c>
      <c r="B1479" s="126" t="s">
        <v>2796</v>
      </c>
    </row>
    <row r="1480" spans="1:2" x14ac:dyDescent="0.25">
      <c r="A1480" s="125">
        <v>69450</v>
      </c>
      <c r="B1480" s="126" t="s">
        <v>3517</v>
      </c>
    </row>
    <row r="1481" spans="1:2" x14ac:dyDescent="0.25">
      <c r="A1481" s="125">
        <v>69470</v>
      </c>
      <c r="B1481" s="126" t="s">
        <v>3518</v>
      </c>
    </row>
    <row r="1482" spans="1:2" x14ac:dyDescent="0.25">
      <c r="A1482" s="125">
        <v>69471</v>
      </c>
      <c r="B1482" s="126" t="s">
        <v>451</v>
      </c>
    </row>
    <row r="1483" spans="1:2" x14ac:dyDescent="0.25">
      <c r="A1483" s="125">
        <v>69500</v>
      </c>
      <c r="B1483" s="126" t="s">
        <v>3519</v>
      </c>
    </row>
    <row r="1484" spans="1:2" x14ac:dyDescent="0.25">
      <c r="A1484" s="125">
        <v>69503</v>
      </c>
      <c r="B1484" s="126" t="s">
        <v>3520</v>
      </c>
    </row>
    <row r="1485" spans="1:2" x14ac:dyDescent="0.25">
      <c r="A1485" s="125">
        <v>69600</v>
      </c>
      <c r="B1485" s="126" t="s">
        <v>3521</v>
      </c>
    </row>
    <row r="1486" spans="1:2" x14ac:dyDescent="0.25">
      <c r="A1486" s="125">
        <v>69601</v>
      </c>
      <c r="B1486" s="126" t="s">
        <v>3522</v>
      </c>
    </row>
    <row r="1487" spans="1:2" x14ac:dyDescent="0.25">
      <c r="A1487" s="125">
        <v>69602</v>
      </c>
      <c r="B1487" s="126" t="s">
        <v>3523</v>
      </c>
    </row>
    <row r="1488" spans="1:2" x14ac:dyDescent="0.25">
      <c r="A1488" s="125">
        <v>69603</v>
      </c>
      <c r="B1488" s="126" t="s">
        <v>3524</v>
      </c>
    </row>
    <row r="1489" spans="1:2" x14ac:dyDescent="0.25">
      <c r="A1489" s="125">
        <v>69650</v>
      </c>
      <c r="B1489" s="126" t="s">
        <v>3525</v>
      </c>
    </row>
    <row r="1490" spans="1:2" x14ac:dyDescent="0.25">
      <c r="A1490" s="125">
        <v>69651</v>
      </c>
      <c r="B1490" s="126" t="s">
        <v>3526</v>
      </c>
    </row>
    <row r="1491" spans="1:2" ht="30" x14ac:dyDescent="0.25">
      <c r="A1491" s="125">
        <v>69739</v>
      </c>
      <c r="B1491" s="126" t="s">
        <v>3527</v>
      </c>
    </row>
    <row r="1492" spans="1:2" x14ac:dyDescent="0.25">
      <c r="A1492" s="125">
        <v>69786</v>
      </c>
      <c r="B1492" s="126" t="s">
        <v>3528</v>
      </c>
    </row>
    <row r="1493" spans="1:2" x14ac:dyDescent="0.25">
      <c r="A1493" s="125">
        <v>69795</v>
      </c>
      <c r="B1493" s="126" t="s">
        <v>3529</v>
      </c>
    </row>
    <row r="1494" spans="1:2" x14ac:dyDescent="0.25">
      <c r="A1494" s="125">
        <v>69796</v>
      </c>
      <c r="B1494" s="126" t="s">
        <v>3530</v>
      </c>
    </row>
    <row r="1495" spans="1:2" x14ac:dyDescent="0.25">
      <c r="A1495" s="125">
        <v>69800</v>
      </c>
      <c r="B1495" s="126" t="s">
        <v>3531</v>
      </c>
    </row>
    <row r="1496" spans="1:2" x14ac:dyDescent="0.25">
      <c r="A1496" s="125">
        <v>70001</v>
      </c>
      <c r="B1496" s="126" t="s">
        <v>3532</v>
      </c>
    </row>
    <row r="1497" spans="1:2" x14ac:dyDescent="0.25">
      <c r="A1497" s="125">
        <v>90801</v>
      </c>
      <c r="B1497" s="126" t="s">
        <v>3533</v>
      </c>
    </row>
    <row r="1498" spans="1:2" x14ac:dyDescent="0.25">
      <c r="A1498" s="125">
        <v>98071</v>
      </c>
      <c r="B1498" s="126" t="s">
        <v>3534</v>
      </c>
    </row>
    <row r="1499" spans="1:2" x14ac:dyDescent="0.25">
      <c r="A1499" s="127">
        <v>99502</v>
      </c>
      <c r="B1499" s="127" t="s">
        <v>3535</v>
      </c>
    </row>
    <row r="1500" spans="1:2" x14ac:dyDescent="0.25">
      <c r="A1500" s="127">
        <v>99923</v>
      </c>
      <c r="B1500" s="127"/>
    </row>
    <row r="1501" spans="1:2" x14ac:dyDescent="0.25">
      <c r="A1501" s="127">
        <v>99925</v>
      </c>
      <c r="B1501" s="127"/>
    </row>
    <row r="1502" spans="1:2" x14ac:dyDescent="0.25">
      <c r="A1502" s="125">
        <v>988022</v>
      </c>
      <c r="B1502" s="126" t="s">
        <v>3536</v>
      </c>
    </row>
    <row r="1503" spans="1:2" x14ac:dyDescent="0.25">
      <c r="A1503" s="125">
        <v>988023</v>
      </c>
      <c r="B1503" s="128" t="s">
        <v>3537</v>
      </c>
    </row>
    <row r="1504" spans="1:2" x14ac:dyDescent="0.25">
      <c r="A1504" s="125">
        <v>988025</v>
      </c>
      <c r="B1504" s="128" t="s">
        <v>3538</v>
      </c>
    </row>
    <row r="1505" spans="1:2" x14ac:dyDescent="0.25">
      <c r="A1505" s="125">
        <v>988101</v>
      </c>
      <c r="B1505" s="126" t="s">
        <v>3539</v>
      </c>
    </row>
    <row r="1506" spans="1:2" x14ac:dyDescent="0.25">
      <c r="A1506" s="125">
        <v>988102</v>
      </c>
      <c r="B1506" s="126" t="s">
        <v>3540</v>
      </c>
    </row>
    <row r="1507" spans="1:2" x14ac:dyDescent="0.25">
      <c r="A1507" s="125">
        <v>988103</v>
      </c>
      <c r="B1507" s="126" t="s">
        <v>3541</v>
      </c>
    </row>
    <row r="1508" spans="1:2" x14ac:dyDescent="0.25">
      <c r="A1508" s="125">
        <v>988104</v>
      </c>
      <c r="B1508" s="126" t="s">
        <v>3542</v>
      </c>
    </row>
    <row r="1509" spans="1:2" x14ac:dyDescent="0.25">
      <c r="A1509" s="125">
        <v>988105</v>
      </c>
      <c r="B1509" s="126" t="s">
        <v>3543</v>
      </c>
    </row>
    <row r="1510" spans="1:2" x14ac:dyDescent="0.25">
      <c r="A1510" s="125">
        <v>988106</v>
      </c>
      <c r="B1510" s="126" t="s">
        <v>3544</v>
      </c>
    </row>
    <row r="1511" spans="1:2" x14ac:dyDescent="0.25">
      <c r="A1511" s="125">
        <v>988107</v>
      </c>
      <c r="B1511" s="126" t="s">
        <v>3545</v>
      </c>
    </row>
    <row r="1512" spans="1:2" x14ac:dyDescent="0.25">
      <c r="A1512" s="125">
        <v>988108</v>
      </c>
      <c r="B1512" s="126" t="s">
        <v>3546</v>
      </c>
    </row>
    <row r="1513" spans="1:2" x14ac:dyDescent="0.25">
      <c r="A1513" s="125">
        <v>988109</v>
      </c>
      <c r="B1513" s="126" t="s">
        <v>3547</v>
      </c>
    </row>
    <row r="1514" spans="1:2" x14ac:dyDescent="0.25">
      <c r="A1514" s="125">
        <v>988110</v>
      </c>
      <c r="B1514" s="126" t="s">
        <v>3548</v>
      </c>
    </row>
    <row r="1515" spans="1:2" x14ac:dyDescent="0.25">
      <c r="A1515" s="125">
        <v>988111</v>
      </c>
      <c r="B1515" s="126" t="s">
        <v>3549</v>
      </c>
    </row>
    <row r="1516" spans="1:2" x14ac:dyDescent="0.25">
      <c r="A1516" s="125">
        <v>988112</v>
      </c>
      <c r="B1516" s="126" t="s">
        <v>3550</v>
      </c>
    </row>
    <row r="1517" spans="1:2" x14ac:dyDescent="0.25">
      <c r="A1517" s="125">
        <v>988113</v>
      </c>
      <c r="B1517" s="126" t="s">
        <v>3551</v>
      </c>
    </row>
    <row r="1518" spans="1:2" x14ac:dyDescent="0.25">
      <c r="A1518" s="125">
        <v>988114</v>
      </c>
      <c r="B1518" s="126" t="s">
        <v>3552</v>
      </c>
    </row>
    <row r="1519" spans="1:2" x14ac:dyDescent="0.25">
      <c r="A1519" s="125">
        <v>988115</v>
      </c>
      <c r="B1519" s="126" t="s">
        <v>3553</v>
      </c>
    </row>
    <row r="1520" spans="1:2" x14ac:dyDescent="0.25">
      <c r="A1520" s="125">
        <v>988116</v>
      </c>
      <c r="B1520" s="126" t="s">
        <v>3554</v>
      </c>
    </row>
    <row r="1521" spans="1:2" x14ac:dyDescent="0.25">
      <c r="A1521" s="125">
        <v>988117</v>
      </c>
      <c r="B1521" s="126" t="s">
        <v>3555</v>
      </c>
    </row>
    <row r="1522" spans="1:2" x14ac:dyDescent="0.25">
      <c r="A1522" s="125">
        <v>988118</v>
      </c>
      <c r="B1522" s="126" t="s">
        <v>3556</v>
      </c>
    </row>
    <row r="1523" spans="1:2" x14ac:dyDescent="0.25">
      <c r="A1523" s="125">
        <v>988119</v>
      </c>
      <c r="B1523" s="126" t="s">
        <v>3557</v>
      </c>
    </row>
    <row r="1524" spans="1:2" x14ac:dyDescent="0.25">
      <c r="A1524" s="125">
        <v>988201</v>
      </c>
      <c r="B1524" s="126" t="s">
        <v>3558</v>
      </c>
    </row>
    <row r="1525" spans="1:2" x14ac:dyDescent="0.25">
      <c r="A1525" s="125">
        <v>988202</v>
      </c>
      <c r="B1525" s="126" t="s">
        <v>3559</v>
      </c>
    </row>
    <row r="1526" spans="1:2" x14ac:dyDescent="0.25">
      <c r="A1526" s="125">
        <v>988203</v>
      </c>
      <c r="B1526" s="126" t="s">
        <v>3560</v>
      </c>
    </row>
    <row r="1527" spans="1:2" x14ac:dyDescent="0.25">
      <c r="A1527" s="125">
        <v>988205</v>
      </c>
      <c r="B1527" s="126" t="s">
        <v>3561</v>
      </c>
    </row>
    <row r="1528" spans="1:2" x14ac:dyDescent="0.25">
      <c r="A1528" s="125">
        <v>988401</v>
      </c>
      <c r="B1528" s="126" t="s">
        <v>3562</v>
      </c>
    </row>
    <row r="1529" spans="1:2" x14ac:dyDescent="0.25">
      <c r="A1529" s="125">
        <v>988402</v>
      </c>
      <c r="B1529" s="126" t="s">
        <v>3563</v>
      </c>
    </row>
    <row r="1530" spans="1:2" x14ac:dyDescent="0.25">
      <c r="A1530" s="125">
        <v>988403</v>
      </c>
      <c r="B1530" s="126" t="s">
        <v>3564</v>
      </c>
    </row>
    <row r="1531" spans="1:2" x14ac:dyDescent="0.25">
      <c r="A1531" s="125">
        <v>988404</v>
      </c>
      <c r="B1531" s="126" t="s">
        <v>3565</v>
      </c>
    </row>
    <row r="1532" spans="1:2" x14ac:dyDescent="0.25">
      <c r="A1532" s="125">
        <v>988501</v>
      </c>
      <c r="B1532" s="126" t="s">
        <v>3566</v>
      </c>
    </row>
    <row r="1533" spans="1:2" x14ac:dyDescent="0.25">
      <c r="A1533" s="125">
        <v>988502</v>
      </c>
      <c r="B1533" s="126" t="s">
        <v>3567</v>
      </c>
    </row>
    <row r="1534" spans="1:2" x14ac:dyDescent="0.25">
      <c r="A1534" s="125">
        <v>988601</v>
      </c>
      <c r="B1534" s="126" t="s">
        <v>3568</v>
      </c>
    </row>
    <row r="1535" spans="1:2" x14ac:dyDescent="0.25">
      <c r="A1535" s="125">
        <v>988901</v>
      </c>
      <c r="B1535" s="126" t="s">
        <v>3569</v>
      </c>
    </row>
    <row r="1536" spans="1:2" x14ac:dyDescent="0.25">
      <c r="A1536" s="125">
        <v>988902</v>
      </c>
      <c r="B1536" s="126" t="s">
        <v>3570</v>
      </c>
    </row>
    <row r="1537" spans="1:2" x14ac:dyDescent="0.25">
      <c r="A1537" s="125">
        <v>999023</v>
      </c>
      <c r="B1537" s="128" t="s">
        <v>3571</v>
      </c>
    </row>
    <row r="1538" spans="1:2" x14ac:dyDescent="0.25">
      <c r="A1538" s="127">
        <v>999025</v>
      </c>
      <c r="B1538" s="127" t="s">
        <v>3572</v>
      </c>
    </row>
    <row r="1539" spans="1:2" x14ac:dyDescent="0.25">
      <c r="A1539" s="125">
        <v>999101</v>
      </c>
      <c r="B1539" s="126" t="s">
        <v>3573</v>
      </c>
    </row>
    <row r="1540" spans="1:2" x14ac:dyDescent="0.25">
      <c r="A1540" s="125">
        <v>999102</v>
      </c>
      <c r="B1540" s="126" t="s">
        <v>3574</v>
      </c>
    </row>
    <row r="1541" spans="1:2" x14ac:dyDescent="0.25">
      <c r="A1541" s="125">
        <v>999103</v>
      </c>
      <c r="B1541" s="126" t="s">
        <v>3575</v>
      </c>
    </row>
    <row r="1542" spans="1:2" x14ac:dyDescent="0.25">
      <c r="A1542" s="125">
        <v>999104</v>
      </c>
      <c r="B1542" s="126" t="s">
        <v>3576</v>
      </c>
    </row>
    <row r="1543" spans="1:2" x14ac:dyDescent="0.25">
      <c r="A1543" s="125">
        <v>999105</v>
      </c>
      <c r="B1543" s="126" t="s">
        <v>3577</v>
      </c>
    </row>
    <row r="1544" spans="1:2" x14ac:dyDescent="0.25">
      <c r="A1544" s="125">
        <v>999106</v>
      </c>
      <c r="B1544" s="126" t="s">
        <v>3578</v>
      </c>
    </row>
    <row r="1545" spans="1:2" x14ac:dyDescent="0.25">
      <c r="A1545" s="125">
        <v>999107</v>
      </c>
      <c r="B1545" s="126" t="s">
        <v>3579</v>
      </c>
    </row>
    <row r="1546" spans="1:2" x14ac:dyDescent="0.25">
      <c r="A1546" s="125">
        <v>999108</v>
      </c>
      <c r="B1546" s="126" t="s">
        <v>3580</v>
      </c>
    </row>
    <row r="1547" spans="1:2" x14ac:dyDescent="0.25">
      <c r="A1547" s="125">
        <v>999109</v>
      </c>
      <c r="B1547" s="126" t="s">
        <v>3581</v>
      </c>
    </row>
    <row r="1548" spans="1:2" x14ac:dyDescent="0.25">
      <c r="A1548" s="125">
        <v>999110</v>
      </c>
      <c r="B1548" s="126" t="s">
        <v>3582</v>
      </c>
    </row>
    <row r="1549" spans="1:2" x14ac:dyDescent="0.25">
      <c r="A1549" s="125">
        <v>999111</v>
      </c>
      <c r="B1549" s="126" t="s">
        <v>3583</v>
      </c>
    </row>
    <row r="1550" spans="1:2" x14ac:dyDescent="0.25">
      <c r="A1550" s="125">
        <v>999112</v>
      </c>
      <c r="B1550" s="126" t="s">
        <v>3584</v>
      </c>
    </row>
    <row r="1551" spans="1:2" x14ac:dyDescent="0.25">
      <c r="A1551" s="125">
        <v>999113</v>
      </c>
      <c r="B1551" s="126" t="s">
        <v>3585</v>
      </c>
    </row>
    <row r="1552" spans="1:2" x14ac:dyDescent="0.25">
      <c r="A1552" s="125">
        <v>999114</v>
      </c>
      <c r="B1552" s="126" t="s">
        <v>3586</v>
      </c>
    </row>
    <row r="1553" spans="1:2" x14ac:dyDescent="0.25">
      <c r="A1553" s="125">
        <v>999115</v>
      </c>
      <c r="B1553" s="126" t="s">
        <v>3587</v>
      </c>
    </row>
    <row r="1554" spans="1:2" x14ac:dyDescent="0.25">
      <c r="A1554" s="125">
        <v>999116</v>
      </c>
      <c r="B1554" s="126" t="s">
        <v>3588</v>
      </c>
    </row>
    <row r="1555" spans="1:2" x14ac:dyDescent="0.25">
      <c r="A1555" s="125">
        <v>999117</v>
      </c>
      <c r="B1555" s="126" t="s">
        <v>3589</v>
      </c>
    </row>
    <row r="1556" spans="1:2" x14ac:dyDescent="0.25">
      <c r="A1556" s="125">
        <v>999118</v>
      </c>
      <c r="B1556" s="126" t="s">
        <v>3590</v>
      </c>
    </row>
    <row r="1557" spans="1:2" ht="30" x14ac:dyDescent="0.25">
      <c r="A1557" s="125">
        <v>999119</v>
      </c>
      <c r="B1557" s="126" t="s">
        <v>3591</v>
      </c>
    </row>
    <row r="1558" spans="1:2" x14ac:dyDescent="0.25">
      <c r="A1558" s="125">
        <v>999201</v>
      </c>
      <c r="B1558" s="126" t="s">
        <v>3592</v>
      </c>
    </row>
    <row r="1559" spans="1:2" x14ac:dyDescent="0.25">
      <c r="A1559" s="125">
        <v>999202</v>
      </c>
      <c r="B1559" s="126" t="s">
        <v>3593</v>
      </c>
    </row>
    <row r="1560" spans="1:2" x14ac:dyDescent="0.25">
      <c r="A1560" s="125">
        <v>999203</v>
      </c>
      <c r="B1560" s="126" t="s">
        <v>3594</v>
      </c>
    </row>
    <row r="1561" spans="1:2" x14ac:dyDescent="0.25">
      <c r="A1561" s="125">
        <v>999205</v>
      </c>
      <c r="B1561" s="126" t="s">
        <v>3595</v>
      </c>
    </row>
    <row r="1562" spans="1:2" x14ac:dyDescent="0.25">
      <c r="A1562" s="125">
        <v>999301</v>
      </c>
      <c r="B1562" s="126" t="s">
        <v>3596</v>
      </c>
    </row>
    <row r="1563" spans="1:2" x14ac:dyDescent="0.25">
      <c r="A1563" s="125">
        <v>999401</v>
      </c>
      <c r="B1563" s="126" t="s">
        <v>3597</v>
      </c>
    </row>
    <row r="1564" spans="1:2" x14ac:dyDescent="0.25">
      <c r="A1564" s="125">
        <v>999402</v>
      </c>
      <c r="B1564" s="126" t="s">
        <v>3598</v>
      </c>
    </row>
    <row r="1565" spans="1:2" x14ac:dyDescent="0.25">
      <c r="A1565" s="125">
        <v>999403</v>
      </c>
      <c r="B1565" s="126" t="s">
        <v>3599</v>
      </c>
    </row>
    <row r="1566" spans="1:2" x14ac:dyDescent="0.25">
      <c r="A1566" s="125">
        <v>999404</v>
      </c>
      <c r="B1566" s="126" t="s">
        <v>3600</v>
      </c>
    </row>
    <row r="1567" spans="1:2" x14ac:dyDescent="0.25">
      <c r="A1567" s="125">
        <v>999501</v>
      </c>
      <c r="B1567" s="126" t="s">
        <v>3601</v>
      </c>
    </row>
    <row r="1568" spans="1:2" x14ac:dyDescent="0.25">
      <c r="A1568" s="125">
        <v>999502</v>
      </c>
      <c r="B1568" s="126" t="s">
        <v>3602</v>
      </c>
    </row>
    <row r="1569" spans="1:2" x14ac:dyDescent="0.25">
      <c r="A1569" s="125">
        <v>999601</v>
      </c>
      <c r="B1569" s="126" t="s">
        <v>3603</v>
      </c>
    </row>
    <row r="1570" spans="1:2" x14ac:dyDescent="0.25">
      <c r="A1570" s="125">
        <v>999901</v>
      </c>
      <c r="B1570" s="126" t="s">
        <v>3604</v>
      </c>
    </row>
    <row r="1571" spans="1:2" x14ac:dyDescent="0.25">
      <c r="A1571" s="125">
        <v>999902</v>
      </c>
      <c r="B1571" s="126" t="s">
        <v>3605</v>
      </c>
    </row>
    <row r="1572" spans="1:2" x14ac:dyDescent="0.25">
      <c r="A1572" s="125">
        <v>992434312</v>
      </c>
      <c r="B1572" s="126" t="s">
        <v>3606</v>
      </c>
    </row>
    <row r="1573" spans="1:2" x14ac:dyDescent="0.25">
      <c r="A1573" s="125">
        <v>999002038</v>
      </c>
      <c r="B1573" s="126" t="s">
        <v>3607</v>
      </c>
    </row>
    <row r="1574" spans="1:2" x14ac:dyDescent="0.25">
      <c r="A1574" s="125">
        <v>999114051</v>
      </c>
      <c r="B1574" s="126" t="s">
        <v>3608</v>
      </c>
    </row>
    <row r="1575" spans="1:2" x14ac:dyDescent="0.25">
      <c r="A1575" s="125">
        <v>999214052</v>
      </c>
      <c r="B1575" s="126" t="s">
        <v>3609</v>
      </c>
    </row>
    <row r="1576" spans="1:2" x14ac:dyDescent="0.25">
      <c r="A1576" s="125">
        <v>999214214</v>
      </c>
      <c r="B1576" s="126" t="s">
        <v>3610</v>
      </c>
    </row>
    <row r="1577" spans="1:2" x14ac:dyDescent="0.25">
      <c r="A1577" s="125">
        <v>999217112</v>
      </c>
      <c r="B1577" s="126" t="s">
        <v>3611</v>
      </c>
    </row>
    <row r="1578" spans="1:2" x14ac:dyDescent="0.25">
      <c r="A1578" s="125">
        <v>999222043</v>
      </c>
      <c r="B1578" s="126" t="s">
        <v>3612</v>
      </c>
    </row>
    <row r="1579" spans="1:2" x14ac:dyDescent="0.25">
      <c r="A1579" s="125">
        <v>999233510</v>
      </c>
      <c r="B1579" s="126" t="s">
        <v>3613</v>
      </c>
    </row>
    <row r="1580" spans="1:2" x14ac:dyDescent="0.25">
      <c r="A1580" s="125">
        <v>999298110</v>
      </c>
      <c r="B1580" s="126" t="s">
        <v>3614</v>
      </c>
    </row>
    <row r="1581" spans="1:2" x14ac:dyDescent="0.25">
      <c r="A1581" s="125">
        <v>999298113</v>
      </c>
      <c r="B1581" s="126" t="s">
        <v>3615</v>
      </c>
    </row>
    <row r="1582" spans="1:2" x14ac:dyDescent="0.25">
      <c r="A1582" s="125">
        <v>999298210</v>
      </c>
      <c r="B1582" s="126" t="s">
        <v>3616</v>
      </c>
    </row>
    <row r="1583" spans="1:2" x14ac:dyDescent="0.25">
      <c r="A1583" s="125">
        <v>999298211</v>
      </c>
      <c r="B1583" s="126" t="s">
        <v>3617</v>
      </c>
    </row>
    <row r="1584" spans="1:2" x14ac:dyDescent="0.25">
      <c r="A1584" s="125">
        <v>999298214</v>
      </c>
      <c r="B1584" s="126" t="s">
        <v>3618</v>
      </c>
    </row>
    <row r="1585" spans="1:2" x14ac:dyDescent="0.25">
      <c r="A1585" s="125">
        <v>999298228</v>
      </c>
      <c r="B1585" s="126" t="s">
        <v>3619</v>
      </c>
    </row>
    <row r="1586" spans="1:2" x14ac:dyDescent="0.25">
      <c r="A1586" s="125">
        <v>999307440</v>
      </c>
      <c r="B1586" s="126" t="s">
        <v>3620</v>
      </c>
    </row>
    <row r="1587" spans="1:2" x14ac:dyDescent="0.25">
      <c r="A1587" s="125">
        <v>999314013</v>
      </c>
      <c r="B1587" s="126" t="s">
        <v>3621</v>
      </c>
    </row>
    <row r="1588" spans="1:2" x14ac:dyDescent="0.25">
      <c r="A1588" s="125">
        <v>999317420</v>
      </c>
      <c r="B1588" s="126" t="s">
        <v>3622</v>
      </c>
    </row>
    <row r="1589" spans="1:2" x14ac:dyDescent="0.25">
      <c r="A1589" s="125">
        <v>999322054</v>
      </c>
      <c r="B1589" s="126" t="s">
        <v>3623</v>
      </c>
    </row>
    <row r="1590" spans="1:2" x14ac:dyDescent="0.25">
      <c r="A1590" s="125">
        <v>999333515</v>
      </c>
      <c r="B1590" s="126" t="s">
        <v>3624</v>
      </c>
    </row>
    <row r="1591" spans="1:2" x14ac:dyDescent="0.25">
      <c r="A1591" s="125">
        <v>999334030</v>
      </c>
      <c r="B1591" s="126" t="s">
        <v>3625</v>
      </c>
    </row>
    <row r="1592" spans="1:2" x14ac:dyDescent="0.25">
      <c r="A1592" s="125">
        <v>999335020</v>
      </c>
      <c r="B1592" s="126" t="s">
        <v>3626</v>
      </c>
    </row>
    <row r="1593" spans="1:2" x14ac:dyDescent="0.25">
      <c r="A1593" s="125">
        <v>999335210</v>
      </c>
      <c r="B1593" s="126" t="s">
        <v>3627</v>
      </c>
    </row>
    <row r="1594" spans="1:2" x14ac:dyDescent="0.25">
      <c r="A1594" s="125">
        <v>999398810</v>
      </c>
      <c r="B1594" s="126" t="s">
        <v>3628</v>
      </c>
    </row>
    <row r="1595" spans="1:2" x14ac:dyDescent="0.25">
      <c r="A1595" s="125">
        <v>999434312</v>
      </c>
      <c r="B1595" s="126" t="s">
        <v>3629</v>
      </c>
    </row>
    <row r="1596" spans="1:2" x14ac:dyDescent="0.25">
      <c r="A1596" s="125">
        <v>999925591</v>
      </c>
      <c r="B1596" s="126" t="s">
        <v>3630</v>
      </c>
    </row>
    <row r="1597" spans="1:2" x14ac:dyDescent="0.25">
      <c r="A1597" s="125">
        <v>999925592</v>
      </c>
      <c r="B1597" s="126" t="s">
        <v>3631</v>
      </c>
    </row>
    <row r="1598" spans="1:2" x14ac:dyDescent="0.25">
      <c r="A1598" s="125">
        <v>999927031</v>
      </c>
      <c r="B1598" s="126" t="s">
        <v>3632</v>
      </c>
    </row>
    <row r="1599" spans="1:2" x14ac:dyDescent="0.25">
      <c r="A1599" s="125"/>
      <c r="B1599" s="126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PŘÍJMY</vt:lpstr>
      <vt:lpstr>NEINVESTICE</vt:lpstr>
      <vt:lpstr>INVESTICE</vt:lpstr>
      <vt:lpstr>FINANCOVÁNÍ</vt:lpstr>
      <vt:lpstr>orJ_správce_telefon_mail</vt:lpstr>
      <vt:lpstr>Použité zkratky</vt:lpstr>
      <vt:lpstr>polozky</vt:lpstr>
      <vt:lpstr>UZ</vt:lpstr>
      <vt:lpstr>OrgC</vt:lpstr>
      <vt:lpstr>NEINVESTICE!_MailOriginal</vt:lpstr>
      <vt:lpstr>INVESTICE!Názvy_tisku</vt:lpstr>
      <vt:lpstr>NEINVESTICE!Názvy_tisku</vt:lpstr>
      <vt:lpstr>PŘÍJMY!Názvy_tisku</vt:lpstr>
      <vt:lpstr>FINANCOVÁNÍ!Oblast_tisku</vt:lpstr>
      <vt:lpstr>INVESTICE!Oblast_tisku</vt:lpstr>
      <vt:lpstr>NEINVESTICE!Oblast_tisku</vt:lpstr>
      <vt:lpstr>orJ_správce_telefon_mail!Oblast_tisku</vt:lpstr>
      <vt:lpstr>PŘÍJMY!Oblast_tisku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  EKO</dc:creator>
  <cp:lastModifiedBy>MěÚ Kutná Hora</cp:lastModifiedBy>
  <cp:lastPrinted>2023-11-10T07:32:45Z</cp:lastPrinted>
  <dcterms:created xsi:type="dcterms:W3CDTF">2020-10-07T06:31:07Z</dcterms:created>
  <dcterms:modified xsi:type="dcterms:W3CDTF">2023-11-23T14:27:50Z</dcterms:modified>
</cp:coreProperties>
</file>